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Záloha/Sevroll/nahráno/"/>
    </mc:Choice>
  </mc:AlternateContent>
  <xr:revisionPtr revIDLastSave="5" documentId="8_{84AB58A0-58D1-4C6B-B3EC-E52BB919B3B2}" xr6:coauthVersionLast="47" xr6:coauthVersionMax="47" xr10:uidLastSave="{2E1D205A-0FE0-4637-9260-DF610A65543E}"/>
  <workbookProtection workbookAlgorithmName="SHA-512" workbookHashValue="r0FaR0yh3MXM7ZvUx4iWrCPv5Ll2K5g8kNQw02Uk8jqdGx7ra/vDK/tOEM4q5SFVMNdtdDu7BCuYiYRCQDks+w==" workbookSaltValue="hiAnMIutbSQX61j2bLYUsQ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Elegant" sheetId="47" r:id="rId36"/>
    <sheet name="Minicomfort II" sheetId="58" r:id="rId37"/>
    <sheet name="Comfort II" sheetId="62" r:id="rId38"/>
    <sheet name="Unicomfort II" sheetId="61" r:id="rId39"/>
    <sheet name="Era (bezrámový)" sheetId="80" r:id="rId40"/>
    <sheet name="Rekord (bezrámový)" sheetId="81" r:id="rId41"/>
    <sheet name="Era (rámový)" sheetId="53" r:id="rId42"/>
    <sheet name="Rekord (rámový)" sheetId="78" r:id="rId43"/>
    <sheet name="sys.10mm" sheetId="41" r:id="rId44"/>
    <sheet name="sys. 18mm" sheetId="42" r:id="rId45"/>
    <sheet name="sys. Pax" sheetId="75" r:id="rId46"/>
    <sheet name="Blue 10 mm" sheetId="82" r:id="rId47"/>
    <sheet name="Blue 18 mm (rámový)" sheetId="83" r:id="rId48"/>
    <sheet name="Blue 18 mm (bezrámový)" sheetId="84" r:id="rId49"/>
    <sheet name="příslušenství" sheetId="57" r:id="rId50"/>
  </sheets>
  <definedNames>
    <definedName name="_xlnm._FilterDatabase" localSheetId="9" hidden="1">cennik!$A$1:$T$3783</definedName>
    <definedName name="_xlnm._FilterDatabase" localSheetId="8" hidden="1">data!$A$2:$F$831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7">'Comfort II'!$E$4</definedName>
    <definedName name="barva_7" localSheetId="39">'Era (bezrámový)'!$E$4</definedName>
    <definedName name="barva_7" localSheetId="41">'Era (rámový)'!$E$4</definedName>
    <definedName name="barva_7" localSheetId="16">Fala!$E$4</definedName>
    <definedName name="barva_7" localSheetId="14">Master!$E$4</definedName>
    <definedName name="barva_7" localSheetId="36">'Minicomfort II'!$E$4</definedName>
    <definedName name="barva_7" localSheetId="17">Polo!$E$4</definedName>
    <definedName name="barva_7" localSheetId="40">'Rekord (bezrámový)'!$E$4</definedName>
    <definedName name="barva_7" localSheetId="42">'Rekord (rámový)'!$E$4</definedName>
    <definedName name="barva_7" localSheetId="38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5">Elegant!$E$4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41" i="78" l="1"/>
  <c r="C39" i="78"/>
  <c r="C41" i="53"/>
  <c r="C39" i="53"/>
  <c r="C39" i="71"/>
  <c r="C37" i="71"/>
  <c r="C39" i="6"/>
  <c r="C37" i="6"/>
  <c r="C43" i="51"/>
  <c r="C41" i="51"/>
  <c r="C41" i="55"/>
  <c r="C39" i="55"/>
  <c r="A12" i="93"/>
  <c r="A14" i="3" l="1"/>
  <c r="A13" i="95"/>
  <c r="B6" i="30"/>
  <c r="B6" i="72"/>
  <c r="B6" i="31"/>
  <c r="A14" i="30"/>
  <c r="Q10" i="1"/>
  <c r="P10" i="1"/>
  <c r="O10" i="1"/>
  <c r="M10" i="1"/>
  <c r="B10" i="56" l="1"/>
  <c r="B11" i="56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E42" i="47" s="1"/>
  <c r="C914" i="40"/>
  <c r="E43" i="47" s="1"/>
  <c r="C913" i="40"/>
  <c r="E44" i="47" s="1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C44" i="47" s="1"/>
  <c r="B914" i="40"/>
  <c r="C43" i="47" s="1"/>
  <c r="B915" i="40"/>
  <c r="C42" i="47" s="1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41" i="47"/>
  <c r="I28" i="58"/>
  <c r="I29" i="61"/>
  <c r="I33" i="53"/>
  <c r="I35" i="62"/>
  <c r="I35" i="94"/>
  <c r="I40" i="47"/>
  <c r="I66" i="94"/>
  <c r="I57" i="61"/>
  <c r="I31" i="94"/>
  <c r="I57" i="62"/>
  <c r="I39" i="58"/>
  <c r="I51" i="53"/>
  <c r="I29" i="58"/>
  <c r="I33" i="78"/>
  <c r="I44" i="78"/>
  <c r="I32" i="53"/>
  <c r="B8" i="78"/>
  <c r="B7" i="78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7" i="47"/>
  <c r="B8" i="47" s="1"/>
  <c r="B9" i="47" s="1"/>
  <c r="B11" i="34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8" i="19"/>
  <c r="B11" i="19" s="1"/>
  <c r="B7" i="19"/>
  <c r="B8" i="18"/>
  <c r="B10" i="18" s="1"/>
  <c r="B7" i="18"/>
  <c r="B7" i="8"/>
  <c r="B8" i="8" s="1"/>
  <c r="B7" i="93"/>
  <c r="B8" i="93" s="1"/>
  <c r="B7" i="87"/>
  <c r="B9" i="87" s="1"/>
  <c r="B7" i="56"/>
  <c r="B8" i="56" s="1"/>
  <c r="B9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B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C7" i="47"/>
  <c r="C8" i="47" s="1"/>
  <c r="I49" i="47"/>
  <c r="I43" i="47"/>
  <c r="I38" i="47"/>
  <c r="I37" i="47"/>
  <c r="I35" i="47"/>
  <c r="I34" i="47"/>
  <c r="I32" i="47"/>
  <c r="I31" i="47"/>
  <c r="I30" i="47"/>
  <c r="I29" i="47"/>
  <c r="I28" i="47"/>
  <c r="I27" i="47"/>
  <c r="I25" i="47"/>
  <c r="B10" i="81" l="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48" i="47"/>
  <c r="I52" i="81"/>
  <c r="I52" i="53"/>
  <c r="I39" i="61"/>
  <c r="I54" i="94"/>
  <c r="I44" i="94"/>
  <c r="I42" i="95"/>
  <c r="I28" i="61"/>
  <c r="I36" i="58"/>
  <c r="I43" i="61"/>
  <c r="I42" i="81"/>
  <c r="I52" i="78"/>
  <c r="I36" i="47"/>
  <c r="I43" i="19"/>
  <c r="I42" i="62"/>
  <c r="I28" i="81"/>
  <c r="I44" i="53"/>
  <c r="I32" i="94"/>
  <c r="I37" i="95"/>
  <c r="I26" i="47"/>
  <c r="I56" i="19"/>
  <c r="I55" i="62"/>
  <c r="I34" i="61"/>
  <c r="I51" i="81"/>
  <c r="I45" i="94"/>
  <c r="I38" i="95"/>
  <c r="I33" i="47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9" i="47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s="1"/>
  <c r="B29" i="78" l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2" i="47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41" i="47" s="1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9" i="47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28" i="47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41" i="47"/>
  <c r="C41" i="47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J9" i="1" l="1"/>
  <c r="J8" i="1"/>
  <c r="C77" i="1" s="1"/>
  <c r="J7" i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37" i="47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52" i="47"/>
  <c r="A60" i="61"/>
  <c r="A59" i="20"/>
  <c r="A59" i="70"/>
  <c r="A60" i="34"/>
  <c r="A59" i="33"/>
  <c r="A57" i="48"/>
  <c r="A58" i="44"/>
  <c r="C30" i="19"/>
  <c r="C30" i="62"/>
  <c r="C27" i="47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0" i="47"/>
  <c r="A43" i="19"/>
  <c r="A43" i="20"/>
  <c r="A42" i="44"/>
  <c r="A43" i="33"/>
  <c r="A41" i="48"/>
  <c r="A43" i="34"/>
  <c r="A43" i="70"/>
  <c r="B3" i="94"/>
  <c r="B3" i="95"/>
  <c r="B3" i="30"/>
  <c r="E464" i="1"/>
  <c r="E436" i="1"/>
  <c r="C28" i="47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37" i="47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2" i="47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43" i="47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38" i="47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38" i="47"/>
  <c r="A41" i="58"/>
  <c r="A41" i="61"/>
  <c r="A41" i="19"/>
  <c r="A41" i="62"/>
  <c r="A41" i="20"/>
  <c r="A41" i="33"/>
  <c r="A39" i="48"/>
  <c r="A41" i="70"/>
  <c r="A41" i="34"/>
  <c r="A40" i="44"/>
  <c r="E53" i="30"/>
  <c r="C32" i="47"/>
  <c r="C35" i="62"/>
  <c r="C35" i="61"/>
  <c r="C35" i="58"/>
  <c r="C38" i="95"/>
  <c r="C43" i="94"/>
  <c r="C46" i="95"/>
  <c r="C51" i="94"/>
  <c r="C42" i="19"/>
  <c r="C39" i="47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37" i="47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47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39" i="47"/>
  <c r="A42" i="19"/>
  <c r="A42" i="62"/>
  <c r="A42" i="61"/>
  <c r="A42" i="58"/>
  <c r="A42" i="34"/>
  <c r="A42" i="70"/>
  <c r="A41" i="44"/>
  <c r="A42" i="20"/>
  <c r="A40" i="48"/>
  <c r="A42" i="33"/>
  <c r="A45" i="47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2" i="47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39" i="47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27" i="47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33" i="47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0" i="47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1" i="47"/>
  <c r="A34" i="62"/>
  <c r="A35" i="81"/>
  <c r="A34" i="20"/>
  <c r="A34" i="33"/>
  <c r="A32" i="48"/>
  <c r="A34" i="34"/>
  <c r="A34" i="70"/>
  <c r="A33" i="44"/>
  <c r="A57" i="19"/>
  <c r="A49" i="47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47" i="47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33" i="47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2" i="47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1" i="47"/>
  <c r="A59" i="62"/>
  <c r="A58" i="20"/>
  <c r="A59" i="34"/>
  <c r="A57" i="44"/>
  <c r="A58" i="33"/>
  <c r="A56" i="48"/>
  <c r="A58" i="70"/>
  <c r="I44" i="47"/>
  <c r="I42" i="47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1" i="47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4" i="47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5" i="47"/>
  <c r="C28" i="19"/>
  <c r="C28" i="33"/>
  <c r="C26" i="48"/>
  <c r="C28" i="20"/>
  <c r="C28" i="70"/>
  <c r="C27" i="44"/>
  <c r="C28" i="34"/>
  <c r="C29" i="8"/>
  <c r="C28" i="17"/>
  <c r="C28" i="18"/>
  <c r="C56" i="7"/>
  <c r="C49" i="4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38" i="47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47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0" i="47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1" i="47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4" i="47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5" i="47"/>
  <c r="E28" i="33"/>
  <c r="E26" i="48"/>
  <c r="E28" i="70"/>
  <c r="E28" i="20"/>
  <c r="E27" i="44"/>
  <c r="E28" i="34"/>
  <c r="E29" i="8"/>
  <c r="E28" i="17"/>
  <c r="E28" i="18"/>
  <c r="E56" i="7"/>
  <c r="E49" i="4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4" i="47"/>
  <c r="A47" i="81"/>
  <c r="A51" i="58"/>
  <c r="A47" i="80"/>
  <c r="A51" i="62"/>
  <c r="A51" i="34"/>
  <c r="A51" i="70"/>
  <c r="A50" i="44"/>
  <c r="A51" i="20"/>
  <c r="A51" i="33"/>
  <c r="A49" i="48"/>
  <c r="A46" i="47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33" i="47"/>
  <c r="A40" i="81"/>
  <c r="A50" i="53"/>
  <c r="A40" i="80"/>
  <c r="A36" i="20"/>
  <c r="A36" i="33"/>
  <c r="A34" i="48"/>
  <c r="A36" i="34"/>
  <c r="A36" i="70"/>
  <c r="A35" i="44"/>
  <c r="A55" i="58"/>
  <c r="A56" i="61"/>
  <c r="A56" i="19"/>
  <c r="A48" i="47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0" i="47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26" i="47"/>
  <c r="C55" i="58"/>
  <c r="C56" i="19"/>
  <c r="C52" i="81"/>
  <c r="C48" i="47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5" i="47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5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4" i="47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0" i="47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6" i="47"/>
  <c r="E29" i="62"/>
  <c r="E29" i="58"/>
  <c r="E29" i="61"/>
  <c r="E53" i="5"/>
  <c r="E55" i="58"/>
  <c r="E56" i="19"/>
  <c r="E52" i="81"/>
  <c r="E48" i="47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5" i="47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6" i="47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5" i="47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6" i="47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47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6" i="47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1" i="47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C31" i="93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I153" i="1" l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A64" i="72"/>
  <c r="A65" i="95"/>
  <c r="A62" i="61"/>
  <c r="A62" i="19"/>
  <c r="A70" i="94"/>
  <c r="A69" i="53"/>
  <c r="A68" i="78"/>
  <c r="A58" i="81"/>
  <c r="A54" i="47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K34" i="95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B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O6" i="33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N7" i="47"/>
  <c r="N8" i="47" s="1"/>
  <c r="B30" i="8"/>
  <c r="B31" i="56"/>
  <c r="L24" i="56"/>
  <c r="P7" i="56"/>
  <c r="O8" i="33"/>
  <c r="B25" i="33" s="1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D28" i="47"/>
  <c r="J28" i="47" s="1"/>
  <c r="A11" i="47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47"/>
  <c r="O7" i="34"/>
  <c r="O5" i="34"/>
  <c r="M5" i="34"/>
  <c r="O7" i="48"/>
  <c r="O5" i="48"/>
  <c r="M5" i="48"/>
  <c r="M6" i="48"/>
  <c r="O7" i="33"/>
  <c r="O5" i="33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J41" i="47"/>
  <c r="D25" i="47"/>
  <c r="J25" i="47" s="1"/>
  <c r="B29" i="34"/>
  <c r="B27" i="48"/>
  <c r="B28" i="44"/>
  <c r="J49" i="47"/>
  <c r="J48" i="47"/>
  <c r="J47" i="47"/>
  <c r="J46" i="47"/>
  <c r="J45" i="47"/>
  <c r="J44" i="47"/>
  <c r="J43" i="47"/>
  <c r="J42" i="47"/>
  <c r="J40" i="47"/>
  <c r="J39" i="47"/>
  <c r="J38" i="47"/>
  <c r="J37" i="47"/>
  <c r="J36" i="47"/>
  <c r="J35" i="47"/>
  <c r="J34" i="47"/>
  <c r="J33" i="47"/>
  <c r="J32" i="47"/>
  <c r="J31" i="47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44" i="47"/>
  <c r="F43" i="47"/>
  <c r="F41" i="47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7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29" i="47"/>
  <c r="D27" i="47"/>
  <c r="J27" i="47" s="1"/>
  <c r="D26" i="47"/>
  <c r="J26" i="47" s="1"/>
  <c r="B6" i="47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J29" i="33" s="1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S5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F34" i="55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G33" i="78" s="1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J29" i="20" l="1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47"/>
  <c r="H35" i="47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39" i="47"/>
  <c r="H31" i="47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24" i="47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44" i="47"/>
  <c r="H36" i="47"/>
  <c r="H27" i="47"/>
  <c r="H23" i="47"/>
  <c r="H40" i="47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48" i="47"/>
  <c r="H41" i="47"/>
  <c r="H33" i="47"/>
  <c r="H43" i="47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8" i="47"/>
  <c r="H37" i="47"/>
  <c r="H39" i="53"/>
  <c r="H44" i="61"/>
  <c r="H44" i="58"/>
  <c r="H62" i="53"/>
  <c r="H30" i="81"/>
  <c r="H26" i="81"/>
  <c r="H43" i="80"/>
  <c r="H46" i="61"/>
  <c r="H45" i="62"/>
  <c r="H46" i="58"/>
  <c r="H28" i="19"/>
  <c r="H26" i="47"/>
  <c r="H38" i="19"/>
  <c r="H32" i="47"/>
  <c r="H38" i="78"/>
  <c r="H30" i="19"/>
  <c r="H25" i="47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52" i="47"/>
  <c r="H47" i="47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46" i="47"/>
  <c r="H33" i="53"/>
  <c r="H41" i="81"/>
  <c r="H37" i="81"/>
  <c r="H45" i="80"/>
  <c r="H39" i="80"/>
  <c r="H35" i="80"/>
  <c r="H50" i="61"/>
  <c r="H31" i="62"/>
  <c r="H27" i="62"/>
  <c r="H50" i="58"/>
  <c r="H47" i="19"/>
  <c r="H25" i="19"/>
  <c r="H45" i="47"/>
  <c r="H42" i="47"/>
  <c r="H34" i="47"/>
  <c r="H28" i="47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43" i="47"/>
  <c r="G44" i="47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B45" i="47" s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C37" i="94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B24" i="47"/>
  <c r="B23" i="47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T17" i="54" s="1"/>
  <c r="T9" i="54" s="1"/>
  <c r="S8" i="5"/>
  <c r="S17" i="5" s="1"/>
  <c r="S9" i="5" s="1"/>
  <c r="T8" i="5"/>
  <c r="R22" i="5" s="1"/>
  <c r="S22" i="5" s="1"/>
  <c r="U22" i="5" s="1"/>
  <c r="U8" i="5"/>
  <c r="R28" i="5" s="1"/>
  <c r="S28" i="5" s="1"/>
  <c r="V28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U17" i="71" s="1"/>
  <c r="U9" i="71" s="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3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L72" i="4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A25" i="47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A8" i="4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S17" i="54" s="1"/>
  <c r="R8" i="54"/>
  <c r="R17" i="54" s="1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T17" i="86" s="1"/>
  <c r="S8" i="86"/>
  <c r="S17" i="86" s="1"/>
  <c r="U8" i="86"/>
  <c r="U17" i="86" s="1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6" i="47"/>
  <c r="G36" i="47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37" i="47"/>
  <c r="G37" i="47" s="1"/>
  <c r="F40" i="47"/>
  <c r="G40" i="47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F29" i="19"/>
  <c r="G29" i="19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B5" i="47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38" i="47"/>
  <c r="G38" i="47" s="1"/>
  <c r="F49" i="6"/>
  <c r="G49" i="6" s="1"/>
  <c r="F31" i="47"/>
  <c r="G31" i="47" s="1"/>
  <c r="F26" i="47"/>
  <c r="G26" i="47" s="1"/>
  <c r="F30" i="18"/>
  <c r="G30" i="18" s="1"/>
  <c r="A27" i="8"/>
  <c r="A24" i="47" s="1"/>
  <c r="A28" i="56"/>
  <c r="F55" i="18"/>
  <c r="G55" i="18" s="1"/>
  <c r="F55" i="61"/>
  <c r="G55" i="61" s="1"/>
  <c r="F49" i="47"/>
  <c r="G49" i="47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L68" i="30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L65" i="3"/>
  <c r="L67" i="56"/>
  <c r="A3" i="78"/>
  <c r="A7" i="34"/>
  <c r="A7" i="81"/>
  <c r="A7" i="8"/>
  <c r="A7" i="47"/>
  <c r="A63" i="86"/>
  <c r="A61" i="5"/>
  <c r="A62" i="30"/>
  <c r="A61" i="4"/>
  <c r="A63" i="31"/>
  <c r="A63" i="7"/>
  <c r="A65" i="51"/>
  <c r="A62" i="54"/>
  <c r="A59" i="55"/>
  <c r="J35" i="85"/>
  <c r="F28" i="47"/>
  <c r="G28" i="47" s="1"/>
  <c r="F28" i="58"/>
  <c r="G28" i="58" s="1"/>
  <c r="K32" i="30"/>
  <c r="A26" i="3"/>
  <c r="A27" i="72"/>
  <c r="A32" i="3"/>
  <c r="A50" i="72"/>
  <c r="A48" i="72"/>
  <c r="E28" i="72"/>
  <c r="A33" i="77"/>
  <c r="A63" i="57"/>
  <c r="P24" i="77"/>
  <c r="A62" i="77"/>
  <c r="A11" i="77"/>
  <c r="A42" i="57"/>
  <c r="A17" i="77"/>
  <c r="A61" i="78"/>
  <c r="A62" i="53"/>
  <c r="L71" i="85"/>
  <c r="K69" i="7"/>
  <c r="K57" i="80"/>
  <c r="L68" i="56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39" i="47"/>
  <c r="G39" i="47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27" i="47"/>
  <c r="G27" i="47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25" i="47"/>
  <c r="G25" i="47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48" i="47"/>
  <c r="G48" i="47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3" i="47"/>
  <c r="G33" i="47" s="1"/>
  <c r="F38" i="20"/>
  <c r="G38" i="20" s="1"/>
  <c r="F36" i="58"/>
  <c r="G36" i="58" s="1"/>
  <c r="F54" i="53"/>
  <c r="G54" i="53" s="1"/>
  <c r="F55" i="58"/>
  <c r="G55" i="58" s="1"/>
  <c r="F46" i="31"/>
  <c r="G46" i="31" s="1"/>
  <c r="F35" i="47"/>
  <c r="G35" i="47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34" i="47"/>
  <c r="G34" i="47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35" i="34"/>
  <c r="G35" i="34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42" i="47"/>
  <c r="G42" i="47" s="1"/>
  <c r="F54" i="78"/>
  <c r="G54" i="78" s="1"/>
  <c r="F43" i="54"/>
  <c r="G43" i="54" s="1"/>
  <c r="F35" i="58"/>
  <c r="G35" i="58" s="1"/>
  <c r="F29" i="81"/>
  <c r="G29" i="81" s="1"/>
  <c r="F35" i="61"/>
  <c r="G35" i="61" s="1"/>
  <c r="F32" i="47"/>
  <c r="G32" i="47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48" i="61" l="1"/>
  <c r="E48" i="61"/>
  <c r="E52" i="61"/>
  <c r="C52" i="61"/>
  <c r="C45" i="47"/>
  <c r="E45" i="47"/>
  <c r="E49" i="80"/>
  <c r="C49" i="80"/>
  <c r="E48" i="56"/>
  <c r="C48" i="56"/>
  <c r="E50" i="80"/>
  <c r="C50" i="80"/>
  <c r="E45" i="58"/>
  <c r="C45" i="58"/>
  <c r="R31" i="5"/>
  <c r="S31" i="5" s="1"/>
  <c r="U31" i="5" s="1"/>
  <c r="R25" i="5"/>
  <c r="S25" i="5" s="1"/>
  <c r="U25" i="5" s="1"/>
  <c r="R21" i="5"/>
  <c r="S21" i="5" s="1"/>
  <c r="T21" i="5" s="1"/>
  <c r="R30" i="5"/>
  <c r="S30" i="5" s="1"/>
  <c r="R29" i="5"/>
  <c r="S29" i="5" s="1"/>
  <c r="T29" i="5" s="1"/>
  <c r="R24" i="5"/>
  <c r="S24" i="5" s="1"/>
  <c r="R32" i="5"/>
  <c r="S32" i="5" s="1"/>
  <c r="L13" i="55"/>
  <c r="L14" i="55" s="1"/>
  <c r="L19" i="55" s="1"/>
  <c r="N10" i="55"/>
  <c r="N11" i="55" s="1"/>
  <c r="S19" i="55"/>
  <c r="S9" i="55" s="1"/>
  <c r="Q29" i="55"/>
  <c r="O10" i="5"/>
  <c r="O11" i="5" s="1"/>
  <c r="R26" i="5"/>
  <c r="S26" i="5" s="1"/>
  <c r="V26" i="5" s="1"/>
  <c r="R27" i="5"/>
  <c r="S27" i="5" s="1"/>
  <c r="V27" i="5" s="1"/>
  <c r="R23" i="5"/>
  <c r="S23" i="5" s="1"/>
  <c r="V23" i="5" s="1"/>
  <c r="U17" i="5"/>
  <c r="U9" i="5" s="1"/>
  <c r="B53" i="18"/>
  <c r="B48" i="81"/>
  <c r="B50" i="18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R28" i="71"/>
  <c r="S28" i="71" s="1"/>
  <c r="V28" i="71" s="1"/>
  <c r="N12" i="71"/>
  <c r="B50" i="61"/>
  <c r="B54" i="58"/>
  <c r="B50" i="8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47" i="47"/>
  <c r="B46" i="47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8" i="47"/>
  <c r="A29" i="48"/>
  <c r="A30" i="44"/>
  <c r="A31" i="19"/>
  <c r="A68" i="53"/>
  <c r="A69" i="94"/>
  <c r="A67" i="78"/>
  <c r="A64" i="95"/>
  <c r="A57" i="80"/>
  <c r="A60" i="58"/>
  <c r="A61" i="19"/>
  <c r="A53" i="47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50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50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50" i="58"/>
  <c r="I25" i="58"/>
  <c r="E25" i="58"/>
  <c r="C25" i="58"/>
  <c r="I26" i="58"/>
  <c r="C26" i="58"/>
  <c r="E26" i="58"/>
  <c r="E27" i="58"/>
  <c r="I27" i="58"/>
  <c r="C27" i="58"/>
  <c r="I45" i="47"/>
  <c r="I23" i="47"/>
  <c r="C23" i="47"/>
  <c r="E23" i="47"/>
  <c r="E24" i="47"/>
  <c r="I24" i="47"/>
  <c r="C24" i="47"/>
  <c r="A63" i="17"/>
  <c r="A61" i="18"/>
  <c r="A62" i="8"/>
  <c r="I31" i="18"/>
  <c r="E31" i="18"/>
  <c r="C31" i="18"/>
  <c r="I50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Q28" i="54"/>
  <c r="E34" i="5"/>
  <c r="C34" i="5"/>
  <c r="I34" i="5"/>
  <c r="I34" i="6"/>
  <c r="E34" i="6"/>
  <c r="C34" i="6"/>
  <c r="R23" i="71"/>
  <c r="S23" i="71" s="1"/>
  <c r="V23" i="71" s="1"/>
  <c r="S17" i="71"/>
  <c r="S9" i="71" s="1"/>
  <c r="R21" i="71"/>
  <c r="S21" i="71" s="1"/>
  <c r="T21" i="71" s="1"/>
  <c r="R30" i="71"/>
  <c r="S30" i="71" s="1"/>
  <c r="R24" i="71"/>
  <c r="S24" i="71" s="1"/>
  <c r="R29" i="71"/>
  <c r="S29" i="71" s="1"/>
  <c r="T29" i="71" s="1"/>
  <c r="T17" i="71"/>
  <c r="T9" i="71" s="1"/>
  <c r="R22" i="71"/>
  <c r="S22" i="71" s="1"/>
  <c r="U22" i="71" s="1"/>
  <c r="R25" i="71"/>
  <c r="S25" i="71" s="1"/>
  <c r="U25" i="71" s="1"/>
  <c r="R31" i="71"/>
  <c r="S31" i="71" s="1"/>
  <c r="U31" i="71" s="1"/>
  <c r="R27" i="71"/>
  <c r="S27" i="71" s="1"/>
  <c r="V27" i="71" s="1"/>
  <c r="R26" i="71"/>
  <c r="S26" i="71" s="1"/>
  <c r="V26" i="71" s="1"/>
  <c r="R32" i="71"/>
  <c r="S32" i="71" s="1"/>
  <c r="V32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S17" i="85" s="1"/>
  <c r="U8" i="85"/>
  <c r="U17" i="85" s="1"/>
  <c r="U9" i="85" s="1"/>
  <c r="T8" i="85"/>
  <c r="T17" i="85" s="1"/>
  <c r="T9" i="85" s="1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4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2" i="47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2" i="47"/>
  <c r="F27" i="54"/>
  <c r="F24" i="61"/>
  <c r="A52" i="87"/>
  <c r="L71" i="4"/>
  <c r="B3" i="88"/>
  <c r="A50" i="85"/>
  <c r="S8" i="30"/>
  <c r="S17" i="30" s="1"/>
  <c r="T8" i="30"/>
  <c r="T17" i="30" s="1"/>
  <c r="U8" i="30"/>
  <c r="U17" i="30" s="1"/>
  <c r="O7" i="30"/>
  <c r="O8" i="30" s="1"/>
  <c r="T9" i="78"/>
  <c r="Q25" i="78"/>
  <c r="R25" i="78" s="1"/>
  <c r="U25" i="78" s="1"/>
  <c r="Q30" i="78"/>
  <c r="R9" i="78"/>
  <c r="Q31" i="78"/>
  <c r="R31" i="78" s="1"/>
  <c r="S31" i="78" s="1"/>
  <c r="Q33" i="78"/>
  <c r="Q23" i="78"/>
  <c r="R23" i="78" s="1"/>
  <c r="S23" i="78" s="1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6" i="54"/>
  <c r="Q29" i="54"/>
  <c r="R29" i="54" s="1"/>
  <c r="S29" i="54" s="1"/>
  <c r="Q21" i="54"/>
  <c r="R21" i="54" s="1"/>
  <c r="S21" i="54" s="1"/>
  <c r="Q24" i="54"/>
  <c r="R24" i="54" s="1"/>
  <c r="Q31" i="54"/>
  <c r="Q43" i="54"/>
  <c r="R9" i="54"/>
  <c r="Q27" i="54"/>
  <c r="S9" i="54"/>
  <c r="Q32" i="54"/>
  <c r="Q25" i="54"/>
  <c r="Q22" i="54"/>
  <c r="R22" i="54" s="1"/>
  <c r="T22" i="54" s="1"/>
  <c r="U30" i="5"/>
  <c r="T30" i="5"/>
  <c r="T24" i="5"/>
  <c r="U24" i="5"/>
  <c r="M13" i="5"/>
  <c r="N13" i="5" s="1"/>
  <c r="N14" i="5" s="1"/>
  <c r="V32" i="5"/>
  <c r="T32" i="5"/>
  <c r="U8" i="6"/>
  <c r="U17" i="6" s="1"/>
  <c r="S8" i="6"/>
  <c r="S17" i="6" s="1"/>
  <c r="T8" i="6"/>
  <c r="T17" i="6" s="1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S17" i="4" s="1"/>
  <c r="U8" i="4"/>
  <c r="U17" i="4" s="1"/>
  <c r="T8" i="4"/>
  <c r="T17" i="4" s="1"/>
  <c r="N12" i="4"/>
  <c r="S9" i="85"/>
  <c r="R29" i="85"/>
  <c r="S29" i="85" s="1"/>
  <c r="T29" i="85" s="1"/>
  <c r="R21" i="85"/>
  <c r="S21" i="85" s="1"/>
  <c r="T21" i="85" s="1"/>
  <c r="R28" i="85"/>
  <c r="S28" i="85" s="1"/>
  <c r="V28" i="85" s="1"/>
  <c r="R25" i="85"/>
  <c r="S25" i="85" s="1"/>
  <c r="U25" i="85" s="1"/>
  <c r="O7" i="86"/>
  <c r="O8" i="86" s="1"/>
  <c r="R23" i="86"/>
  <c r="U9" i="86"/>
  <c r="R28" i="86"/>
  <c r="R30" i="86"/>
  <c r="S9" i="86"/>
  <c r="R21" i="86"/>
  <c r="S21" i="86" s="1"/>
  <c r="T21" i="86" s="1"/>
  <c r="R24" i="86"/>
  <c r="R29" i="86"/>
  <c r="R32" i="86"/>
  <c r="R26" i="86"/>
  <c r="R22" i="86"/>
  <c r="R27" i="86"/>
  <c r="R25" i="86"/>
  <c r="R31" i="86"/>
  <c r="T9" i="86"/>
  <c r="T8" i="3"/>
  <c r="T17" i="3" s="1"/>
  <c r="S8" i="3"/>
  <c r="S17" i="3" s="1"/>
  <c r="U8" i="3"/>
  <c r="U17" i="3" s="1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47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2" i="47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L55" i="47"/>
  <c r="K56" i="81"/>
  <c r="L59" i="58"/>
  <c r="L63" i="70"/>
  <c r="K69" i="51"/>
  <c r="K63" i="55"/>
  <c r="K60" i="72"/>
  <c r="L63" i="44"/>
  <c r="L64" i="3"/>
  <c r="K67" i="53"/>
  <c r="L63" i="20"/>
  <c r="L66" i="30"/>
  <c r="K68" i="7"/>
  <c r="L67" i="71"/>
  <c r="L60" i="62"/>
  <c r="L60" i="61"/>
  <c r="K67" i="54"/>
  <c r="L62" i="48"/>
  <c r="L70" i="4"/>
  <c r="L66" i="56"/>
  <c r="K56" i="80"/>
  <c r="A29" i="17"/>
  <c r="A26" i="4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2" i="47"/>
  <c r="C27" i="5"/>
  <c r="C27" i="7"/>
  <c r="A52" i="88"/>
  <c r="D27" i="85"/>
  <c r="D25" i="81"/>
  <c r="D27" i="4"/>
  <c r="D30" i="51"/>
  <c r="D24" i="58"/>
  <c r="D27" i="7"/>
  <c r="D25" i="80"/>
  <c r="D29" i="55"/>
  <c r="D22" i="47"/>
  <c r="D29" i="53"/>
  <c r="D24" i="34"/>
  <c r="D24" i="62"/>
  <c r="D27" i="5"/>
  <c r="D25" i="8"/>
  <c r="D27" i="54"/>
  <c r="D24" i="61"/>
  <c r="D26" i="56"/>
  <c r="D29" i="78"/>
  <c r="A29" i="44"/>
  <c r="A30" i="70"/>
  <c r="A27" i="47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0" i="47"/>
  <c r="G22" i="34"/>
  <c r="G22" i="58"/>
  <c r="G25" i="54"/>
  <c r="G25" i="4"/>
  <c r="G28" i="51"/>
  <c r="E44" i="44" l="1"/>
  <c r="C44" i="44"/>
  <c r="E54" i="34"/>
  <c r="C54" i="34"/>
  <c r="C47" i="8"/>
  <c r="E47" i="8"/>
  <c r="E52" i="44"/>
  <c r="C52" i="44"/>
  <c r="C50" i="44"/>
  <c r="E50" i="44"/>
  <c r="E26" i="18"/>
  <c r="C26" i="18"/>
  <c r="E49" i="8"/>
  <c r="C49" i="8"/>
  <c r="I46" i="58"/>
  <c r="E46" i="58"/>
  <c r="C46" i="58"/>
  <c r="I54" i="56"/>
  <c r="E54" i="56"/>
  <c r="C54" i="56"/>
  <c r="E50" i="58"/>
  <c r="C50" i="58"/>
  <c r="E45" i="33"/>
  <c r="C45" i="33"/>
  <c r="C51" i="48"/>
  <c r="E51" i="48"/>
  <c r="I29" i="6"/>
  <c r="C29" i="6"/>
  <c r="E51" i="34"/>
  <c r="C51" i="34"/>
  <c r="C26" i="44"/>
  <c r="E26" i="44"/>
  <c r="E53" i="61"/>
  <c r="C53" i="61"/>
  <c r="E55" i="56"/>
  <c r="C55" i="56"/>
  <c r="I46" i="47"/>
  <c r="E46" i="47"/>
  <c r="C46" i="47"/>
  <c r="E50" i="81"/>
  <c r="C50" i="81"/>
  <c r="C45" i="61"/>
  <c r="E45" i="61"/>
  <c r="E46" i="70"/>
  <c r="C46" i="70"/>
  <c r="C27" i="18"/>
  <c r="E27" i="18"/>
  <c r="E53" i="8"/>
  <c r="C53" i="8"/>
  <c r="E25" i="48"/>
  <c r="C25" i="48"/>
  <c r="I49" i="18"/>
  <c r="E49" i="18"/>
  <c r="C49" i="18"/>
  <c r="E53" i="58"/>
  <c r="C53" i="58"/>
  <c r="E46" i="18"/>
  <c r="C46" i="18"/>
  <c r="I47" i="47"/>
  <c r="E47" i="47"/>
  <c r="C47" i="47"/>
  <c r="E51" i="18"/>
  <c r="C51" i="18"/>
  <c r="I54" i="58"/>
  <c r="E54" i="58"/>
  <c r="C54" i="58"/>
  <c r="E45" i="34"/>
  <c r="C45" i="34"/>
  <c r="E46" i="62"/>
  <c r="C46" i="62"/>
  <c r="E53" i="62"/>
  <c r="C53" i="62"/>
  <c r="E52" i="62"/>
  <c r="C52" i="62"/>
  <c r="E50" i="34"/>
  <c r="C50" i="34"/>
  <c r="E48" i="17"/>
  <c r="C48" i="17"/>
  <c r="I49" i="58"/>
  <c r="E49" i="58"/>
  <c r="C49" i="58"/>
  <c r="E50" i="61"/>
  <c r="C50" i="61"/>
  <c r="E50" i="18"/>
  <c r="C50" i="18"/>
  <c r="E48" i="18"/>
  <c r="C48" i="18"/>
  <c r="I30" i="6"/>
  <c r="C30" i="6"/>
  <c r="E53" i="70"/>
  <c r="C53" i="70"/>
  <c r="E49" i="70"/>
  <c r="C49" i="70"/>
  <c r="E51" i="62"/>
  <c r="C51" i="62"/>
  <c r="E50" i="62"/>
  <c r="C50" i="62"/>
  <c r="I49" i="61"/>
  <c r="C49" i="61"/>
  <c r="E49" i="61"/>
  <c r="E52" i="58"/>
  <c r="C52" i="58"/>
  <c r="C46" i="61"/>
  <c r="E46" i="61"/>
  <c r="E48" i="81"/>
  <c r="C48" i="81"/>
  <c r="E53" i="44"/>
  <c r="C53" i="44"/>
  <c r="E54" i="8"/>
  <c r="C54" i="8"/>
  <c r="E49" i="17"/>
  <c r="C49" i="17"/>
  <c r="E48" i="70"/>
  <c r="C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C45" i="17"/>
  <c r="E45" i="17"/>
  <c r="E52" i="48"/>
  <c r="C52" i="48"/>
  <c r="E45" i="44"/>
  <c r="C45" i="44"/>
  <c r="E53" i="33"/>
  <c r="C53" i="33"/>
  <c r="E47" i="48"/>
  <c r="C47" i="48"/>
  <c r="E51" i="44"/>
  <c r="C51" i="44"/>
  <c r="E51" i="70"/>
  <c r="C51" i="70"/>
  <c r="E27" i="17"/>
  <c r="C27" i="17"/>
  <c r="I51" i="58"/>
  <c r="E51" i="58"/>
  <c r="C51" i="58"/>
  <c r="E46" i="8"/>
  <c r="C46" i="8"/>
  <c r="E54" i="62"/>
  <c r="C54" i="62"/>
  <c r="E46" i="33"/>
  <c r="C46" i="33"/>
  <c r="E53" i="34"/>
  <c r="C53" i="34"/>
  <c r="E48" i="44"/>
  <c r="C48" i="44"/>
  <c r="E50" i="48"/>
  <c r="C50" i="48"/>
  <c r="E51" i="17"/>
  <c r="C51" i="17"/>
  <c r="E50" i="17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E45" i="70"/>
  <c r="C45" i="70"/>
  <c r="E54" i="17"/>
  <c r="C54" i="17"/>
  <c r="E46" i="34"/>
  <c r="C46" i="34"/>
  <c r="E49" i="62"/>
  <c r="C49" i="62"/>
  <c r="E52" i="70"/>
  <c r="C52" i="70"/>
  <c r="E49" i="44"/>
  <c r="C49" i="44"/>
  <c r="E48" i="34"/>
  <c r="C48" i="34"/>
  <c r="C45" i="62"/>
  <c r="E45" i="62"/>
  <c r="E55" i="8"/>
  <c r="C55" i="8"/>
  <c r="I48" i="58"/>
  <c r="E48" i="58"/>
  <c r="C48" i="58"/>
  <c r="C49" i="34"/>
  <c r="E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43" i="48"/>
  <c r="C43" i="48"/>
  <c r="E54" i="33"/>
  <c r="C54" i="33"/>
  <c r="C44" i="48"/>
  <c r="E44" i="48"/>
  <c r="E26" i="17"/>
  <c r="C26" i="17"/>
  <c r="E52" i="34"/>
  <c r="C52" i="34"/>
  <c r="E48" i="48"/>
  <c r="C48" i="48"/>
  <c r="E51" i="61"/>
  <c r="C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U27" i="5"/>
  <c r="T26" i="5"/>
  <c r="M25" i="5"/>
  <c r="M24" i="5"/>
  <c r="M29" i="5" s="1"/>
  <c r="M14" i="5"/>
  <c r="M17" i="5" s="1"/>
  <c r="M26" i="5"/>
  <c r="M13" i="71"/>
  <c r="N13" i="71" s="1"/>
  <c r="N14" i="71" s="1"/>
  <c r="M26" i="7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I51" i="18"/>
  <c r="C30" i="5"/>
  <c r="I46" i="18"/>
  <c r="F36" i="94"/>
  <c r="G36" i="94" s="1"/>
  <c r="F38" i="94"/>
  <c r="G38" i="94" s="1"/>
  <c r="R32" i="85"/>
  <c r="S32" i="85" s="1"/>
  <c r="V32" i="85" s="1"/>
  <c r="O7" i="85"/>
  <c r="O8" i="85" s="1"/>
  <c r="R27" i="85"/>
  <c r="S27" i="85" s="1"/>
  <c r="V27" i="85" s="1"/>
  <c r="R31" i="85"/>
  <c r="S31" i="85" s="1"/>
  <c r="U31" i="85" s="1"/>
  <c r="R22" i="85"/>
  <c r="S22" i="85" s="1"/>
  <c r="U22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47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47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R25" i="54"/>
  <c r="T25" i="54" s="1"/>
  <c r="N10" i="54"/>
  <c r="N11" i="54" s="1"/>
  <c r="L14" i="54"/>
  <c r="L17" i="54" s="1"/>
  <c r="S22" i="86"/>
  <c r="U22" i="86" s="1"/>
  <c r="S23" i="86"/>
  <c r="V23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F51" i="70"/>
  <c r="G51" i="70" s="1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F48" i="44"/>
  <c r="G48" i="44" s="1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F50" i="17"/>
  <c r="G50" i="17" s="1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1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T32" i="71"/>
  <c r="U27" i="71"/>
  <c r="T24" i="71"/>
  <c r="M24" i="71" s="1"/>
  <c r="U24" i="71"/>
  <c r="U30" i="71"/>
  <c r="T30" i="71"/>
  <c r="T26" i="71"/>
  <c r="S8" i="31"/>
  <c r="R30" i="85"/>
  <c r="S30" i="85" s="1"/>
  <c r="T30" i="85" s="1"/>
  <c r="R24" i="85"/>
  <c r="S24" i="85" s="1"/>
  <c r="U24" i="85" s="1"/>
  <c r="R26" i="85"/>
  <c r="S26" i="85" s="1"/>
  <c r="T26" i="85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6" i="30"/>
  <c r="R28" i="30"/>
  <c r="R23" i="30"/>
  <c r="S23" i="30" s="1"/>
  <c r="V23" i="30" s="1"/>
  <c r="U9" i="30"/>
  <c r="R31" i="30"/>
  <c r="R27" i="30"/>
  <c r="T9" i="30"/>
  <c r="R25" i="30"/>
  <c r="R22" i="30"/>
  <c r="S22" i="30" s="1"/>
  <c r="U22" i="30" s="1"/>
  <c r="R24" i="30"/>
  <c r="S24" i="30" s="1"/>
  <c r="S9" i="30"/>
  <c r="R30" i="30"/>
  <c r="R29" i="30"/>
  <c r="S29" i="30" s="1"/>
  <c r="T29" i="30" s="1"/>
  <c r="R21" i="30"/>
  <c r="S21" i="30" s="1"/>
  <c r="T21" i="30" s="1"/>
  <c r="R32" i="30"/>
  <c r="U28" i="78"/>
  <c r="S28" i="78"/>
  <c r="L13" i="53"/>
  <c r="Q27" i="53"/>
  <c r="R27" i="53" s="1"/>
  <c r="T27" i="53" s="1"/>
  <c r="Q29" i="53"/>
  <c r="R29" i="53" s="1"/>
  <c r="Q34" i="53"/>
  <c r="R34" i="53" s="1"/>
  <c r="T34" i="53" s="1"/>
  <c r="Q24" i="53"/>
  <c r="R24" i="53" s="1"/>
  <c r="T24" i="53" s="1"/>
  <c r="S9" i="53"/>
  <c r="Q25" i="53"/>
  <c r="R25" i="53" s="1"/>
  <c r="U25" i="53" s="1"/>
  <c r="Q30" i="53"/>
  <c r="T9" i="53"/>
  <c r="Q23" i="53"/>
  <c r="R23" i="53" s="1"/>
  <c r="S23" i="53" s="1"/>
  <c r="R9" i="53"/>
  <c r="Q33" i="53"/>
  <c r="R33" i="53" s="1"/>
  <c r="Q31" i="53"/>
  <c r="R31" i="53" s="1"/>
  <c r="S31" i="53" s="1"/>
  <c r="Q35" i="53"/>
  <c r="Q26" i="53"/>
  <c r="R26" i="53" s="1"/>
  <c r="Q28" i="53"/>
  <c r="R28" i="53" s="1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S17" i="7" s="1"/>
  <c r="R8" i="7"/>
  <c r="R17" i="7" s="1"/>
  <c r="T8" i="7"/>
  <c r="T17" i="7" s="1"/>
  <c r="N7" i="7"/>
  <c r="N8" i="7" s="1"/>
  <c r="M12" i="7"/>
  <c r="S24" i="54"/>
  <c r="T24" i="54"/>
  <c r="M13" i="6"/>
  <c r="R31" i="6"/>
  <c r="R22" i="6"/>
  <c r="S22" i="6" s="1"/>
  <c r="U22" i="6" s="1"/>
  <c r="T9" i="6"/>
  <c r="R27" i="6"/>
  <c r="R25" i="6"/>
  <c r="S25" i="6" s="1"/>
  <c r="U25" i="6" s="1"/>
  <c r="R26" i="6"/>
  <c r="S26" i="6" s="1"/>
  <c r="R24" i="6"/>
  <c r="S24" i="6" s="1"/>
  <c r="R29" i="6"/>
  <c r="S29" i="6" s="1"/>
  <c r="T29" i="6" s="1"/>
  <c r="S9" i="6"/>
  <c r="R32" i="6"/>
  <c r="R21" i="6"/>
  <c r="S21" i="6" s="1"/>
  <c r="T21" i="6" s="1"/>
  <c r="R30" i="6"/>
  <c r="R23" i="6"/>
  <c r="S23" i="6" s="1"/>
  <c r="V23" i="6" s="1"/>
  <c r="R28" i="6"/>
  <c r="U9" i="6"/>
  <c r="M13" i="86"/>
  <c r="M13" i="4"/>
  <c r="R31" i="4"/>
  <c r="T9" i="4"/>
  <c r="R22" i="4"/>
  <c r="S22" i="4" s="1"/>
  <c r="U22" i="4" s="1"/>
  <c r="R27" i="4"/>
  <c r="R25" i="4"/>
  <c r="U9" i="4"/>
  <c r="R28" i="4"/>
  <c r="R23" i="4"/>
  <c r="S23" i="4" s="1"/>
  <c r="V23" i="4" s="1"/>
  <c r="S9" i="4"/>
  <c r="R26" i="4"/>
  <c r="R21" i="4"/>
  <c r="S21" i="4" s="1"/>
  <c r="T21" i="4" s="1"/>
  <c r="R30" i="4"/>
  <c r="R32" i="4"/>
  <c r="R24" i="4"/>
  <c r="R29" i="4"/>
  <c r="T32" i="85"/>
  <c r="M13" i="85"/>
  <c r="M14" i="3"/>
  <c r="M17" i="3" s="1"/>
  <c r="U9" i="3"/>
  <c r="R23" i="3"/>
  <c r="S23" i="3" s="1"/>
  <c r="V23" i="3" s="1"/>
  <c r="R28" i="3"/>
  <c r="R29" i="3"/>
  <c r="R32" i="3"/>
  <c r="R26" i="3"/>
  <c r="R21" i="3"/>
  <c r="S21" i="3" s="1"/>
  <c r="T21" i="3" s="1"/>
  <c r="S9" i="3"/>
  <c r="R24" i="3"/>
  <c r="R30" i="3"/>
  <c r="R25" i="3"/>
  <c r="R31" i="3"/>
  <c r="R27" i="3"/>
  <c r="T9" i="3"/>
  <c r="R22" i="3"/>
  <c r="S22" i="3" s="1"/>
  <c r="U22" i="3" s="1"/>
  <c r="D60" i="34"/>
  <c r="D60" i="18"/>
  <c r="D59" i="70"/>
  <c r="D59" i="33"/>
  <c r="D52" i="47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A4" i="47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2" i="47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3" i="47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K30" i="71" l="1"/>
  <c r="C30" i="71"/>
  <c r="M27" i="5"/>
  <c r="U27" i="85"/>
  <c r="R28" i="31"/>
  <c r="R32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5" i="71"/>
  <c r="M29" i="71" s="1"/>
  <c r="N13" i="85"/>
  <c r="N14" i="85" s="1"/>
  <c r="M14" i="85"/>
  <c r="M17" i="85" s="1"/>
  <c r="R27" i="31"/>
  <c r="U29" i="55"/>
  <c r="T29" i="55"/>
  <c r="R30" i="55"/>
  <c r="R33" i="55"/>
  <c r="S27" i="6"/>
  <c r="U27" i="6" s="1"/>
  <c r="S28" i="6"/>
  <c r="V28" i="6" s="1"/>
  <c r="N13" i="6"/>
  <c r="N14" i="6" s="1"/>
  <c r="M14" i="6"/>
  <c r="M17" i="6" s="1"/>
  <c r="O10" i="6"/>
  <c r="O11" i="6" s="1"/>
  <c r="R22" i="31"/>
  <c r="S22" i="31" s="1"/>
  <c r="U22" i="31" s="1"/>
  <c r="R25" i="31"/>
  <c r="T17" i="31"/>
  <c r="T9" i="31" s="1"/>
  <c r="T24" i="85"/>
  <c r="M24" i="85" s="1"/>
  <c r="V26" i="85"/>
  <c r="M26" i="85" s="1"/>
  <c r="U30" i="85"/>
  <c r="M25" i="85" s="1"/>
  <c r="R26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0" i="47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R26" i="54"/>
  <c r="S24" i="86"/>
  <c r="F28" i="95"/>
  <c r="K71" i="94"/>
  <c r="N71" i="94" s="1"/>
  <c r="A71" i="94" s="1"/>
  <c r="R30" i="31"/>
  <c r="R24" i="31"/>
  <c r="S24" i="31" s="1"/>
  <c r="U24" i="31" s="1"/>
  <c r="S25" i="30"/>
  <c r="U25" i="30" s="1"/>
  <c r="S26" i="78"/>
  <c r="R29" i="78"/>
  <c r="R30" i="53"/>
  <c r="U30" i="53" s="1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21" i="31"/>
  <c r="S21" i="31" s="1"/>
  <c r="T21" i="31" s="1"/>
  <c r="R29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S24" i="4"/>
  <c r="U24" i="4" s="1"/>
  <c r="S25" i="4"/>
  <c r="U25" i="4" s="1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4" i="3"/>
  <c r="T24" i="3" s="1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U24" i="30"/>
  <c r="T24" i="30"/>
  <c r="J29" i="30"/>
  <c r="F31" i="53"/>
  <c r="G31" i="53" s="1"/>
  <c r="S26" i="53"/>
  <c r="T26" i="53"/>
  <c r="S33" i="53"/>
  <c r="T33" i="53"/>
  <c r="U29" i="53"/>
  <c r="T29" i="53"/>
  <c r="U28" i="53"/>
  <c r="S28" i="53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8" i="7"/>
  <c r="Q23" i="7"/>
  <c r="R23" i="7" s="1"/>
  <c r="U23" i="7" s="1"/>
  <c r="T9" i="7"/>
  <c r="Q31" i="7"/>
  <c r="Q29" i="7"/>
  <c r="R29" i="7" s="1"/>
  <c r="S29" i="7" s="1"/>
  <c r="Q21" i="7"/>
  <c r="R21" i="7" s="1"/>
  <c r="S21" i="7" s="1"/>
  <c r="Q26" i="7"/>
  <c r="R26" i="7" s="1"/>
  <c r="Q24" i="7"/>
  <c r="R24" i="7" s="1"/>
  <c r="Q43" i="7"/>
  <c r="R9" i="7"/>
  <c r="Q27" i="7"/>
  <c r="Q32" i="7"/>
  <c r="Q25" i="7"/>
  <c r="R25" i="7" s="1"/>
  <c r="T25" i="7" s="1"/>
  <c r="Q22" i="7"/>
  <c r="R22" i="7" s="1"/>
  <c r="T22" i="7" s="1"/>
  <c r="S9" i="7"/>
  <c r="T26" i="6"/>
  <c r="V26" i="6"/>
  <c r="T24" i="6"/>
  <c r="U24" i="6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45" i="47"/>
  <c r="G45" i="47" s="1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4" i="47"/>
  <c r="F24" i="47"/>
  <c r="G24" i="47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F23" i="47"/>
  <c r="G23" i="47" s="1"/>
  <c r="G41" i="47" s="1"/>
  <c r="J23" i="47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6" i="47"/>
  <c r="G46" i="47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7" i="47"/>
  <c r="G47" i="47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M27" i="71" l="1"/>
  <c r="D38" i="5"/>
  <c r="K38" i="5" s="1"/>
  <c r="N30" i="5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F38" i="5" s="1"/>
  <c r="G38" i="5" s="1"/>
  <c r="C38" i="5"/>
  <c r="V27" i="6"/>
  <c r="M30" i="71"/>
  <c r="N29" i="71"/>
  <c r="M29" i="85"/>
  <c r="S33" i="55"/>
  <c r="T33" i="55"/>
  <c r="U30" i="55"/>
  <c r="R34" i="55"/>
  <c r="S30" i="6"/>
  <c r="S31" i="6"/>
  <c r="U31" i="6" s="1"/>
  <c r="R27" i="7"/>
  <c r="R31" i="7" s="1"/>
  <c r="U25" i="91"/>
  <c r="F68" i="94"/>
  <c r="U24" i="3"/>
  <c r="G68" i="94"/>
  <c r="U25" i="80"/>
  <c r="L23" i="80"/>
  <c r="R26" i="80"/>
  <c r="V26" i="91"/>
  <c r="M30" i="95"/>
  <c r="N30" i="95" s="1"/>
  <c r="N29" i="95"/>
  <c r="V26" i="93"/>
  <c r="S27" i="93"/>
  <c r="T26" i="93"/>
  <c r="S26" i="54"/>
  <c r="U26" i="54"/>
  <c r="R27" i="54"/>
  <c r="T24" i="86"/>
  <c r="U24" i="86"/>
  <c r="S25" i="86"/>
  <c r="S26" i="86" s="1"/>
  <c r="F63" i="95"/>
  <c r="G28" i="95"/>
  <c r="G63" i="95" s="1"/>
  <c r="T24" i="4"/>
  <c r="S26" i="30"/>
  <c r="T29" i="78"/>
  <c r="U29" i="78"/>
  <c r="R30" i="78"/>
  <c r="L27" i="53"/>
  <c r="R35" i="53"/>
  <c r="L23" i="81"/>
  <c r="L22" i="81"/>
  <c r="L24" i="81"/>
  <c r="L25" i="81" s="1"/>
  <c r="L27" i="81"/>
  <c r="R28" i="7"/>
  <c r="U28" i="7" s="1"/>
  <c r="V27" i="91"/>
  <c r="M13" i="7"/>
  <c r="M14" i="7" s="1"/>
  <c r="L14" i="7"/>
  <c r="L17" i="7" s="1"/>
  <c r="N10" i="7"/>
  <c r="N11" i="7" s="1"/>
  <c r="R24" i="72"/>
  <c r="U24" i="72" s="1"/>
  <c r="R23" i="72"/>
  <c r="T23" i="72" s="1"/>
  <c r="S26" i="4"/>
  <c r="S27" i="4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5" i="3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T24" i="7"/>
  <c r="S24" i="7"/>
  <c r="U26" i="7"/>
  <c r="S26" i="7"/>
  <c r="F36" i="5"/>
  <c r="G36" i="5" s="1"/>
  <c r="D37" i="5"/>
  <c r="K37" i="5" s="1"/>
  <c r="D39" i="5"/>
  <c r="K39" i="5" s="1"/>
  <c r="K69" i="5"/>
  <c r="N69" i="5" s="1"/>
  <c r="A69" i="5" s="1"/>
  <c r="F31" i="72"/>
  <c r="G31" i="72" s="1"/>
  <c r="T24" i="31"/>
  <c r="S25" i="31"/>
  <c r="U25" i="31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J55" i="47"/>
  <c r="N55" i="47" s="1"/>
  <c r="A55" i="47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52" i="47"/>
  <c r="F52" i="47"/>
  <c r="G60" i="62"/>
  <c r="F60" i="62"/>
  <c r="G59" i="20"/>
  <c r="F59" i="20"/>
  <c r="G60" i="61"/>
  <c r="F60" i="61"/>
  <c r="L30" i="51" l="1"/>
  <c r="B42" i="51"/>
  <c r="C42" i="51" s="1"/>
  <c r="B40" i="51"/>
  <c r="C40" i="51" s="1"/>
  <c r="M32" i="51"/>
  <c r="L34" i="51"/>
  <c r="T27" i="7"/>
  <c r="U27" i="7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S32" i="6"/>
  <c r="T32" i="6" s="1"/>
  <c r="T30" i="6"/>
  <c r="U30" i="6"/>
  <c r="M25" i="6" s="1"/>
  <c r="S31" i="7"/>
  <c r="T31" i="7"/>
  <c r="L25" i="7" s="1"/>
  <c r="R32" i="7"/>
  <c r="T32" i="7" s="1"/>
  <c r="U26" i="80"/>
  <c r="R31" i="80"/>
  <c r="V27" i="93"/>
  <c r="U27" i="93"/>
  <c r="S28" i="93"/>
  <c r="S29" i="93" s="1"/>
  <c r="T29" i="93" s="1"/>
  <c r="U27" i="54"/>
  <c r="T27" i="54"/>
  <c r="R28" i="54"/>
  <c r="U28" i="54" s="1"/>
  <c r="S27" i="86"/>
  <c r="S28" i="86" s="1"/>
  <c r="V28" i="86" s="1"/>
  <c r="V26" i="86"/>
  <c r="T26" i="86"/>
  <c r="U25" i="86"/>
  <c r="S27" i="30"/>
  <c r="V26" i="30"/>
  <c r="T26" i="30"/>
  <c r="U30" i="78"/>
  <c r="R33" i="78"/>
  <c r="R34" i="78" s="1"/>
  <c r="U35" i="53"/>
  <c r="L28" i="53" s="1"/>
  <c r="S35" i="53"/>
  <c r="L26" i="53" s="1"/>
  <c r="G60" i="19"/>
  <c r="G25" i="17"/>
  <c r="G62" i="17" s="1"/>
  <c r="R43" i="7"/>
  <c r="F37" i="5"/>
  <c r="G37" i="5" s="1"/>
  <c r="R25" i="72"/>
  <c r="R26" i="72" s="1"/>
  <c r="T26" i="72" s="1"/>
  <c r="G28" i="93"/>
  <c r="G63" i="93" s="1"/>
  <c r="R27" i="72"/>
  <c r="V27" i="4"/>
  <c r="U27" i="4"/>
  <c r="V26" i="4"/>
  <c r="T26" i="4"/>
  <c r="S28" i="4"/>
  <c r="V28" i="4" s="1"/>
  <c r="F63" i="93"/>
  <c r="U25" i="3"/>
  <c r="S26" i="3"/>
  <c r="V28" i="91"/>
  <c r="S30" i="91"/>
  <c r="T30" i="91" s="1"/>
  <c r="F39" i="5"/>
  <c r="G39" i="5" s="1"/>
  <c r="S26" i="31"/>
  <c r="T26" i="3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V32" i="6" l="1"/>
  <c r="M26" i="6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F40" i="51" s="1"/>
  <c r="G40" i="51" s="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M24" i="6"/>
  <c r="R28" i="72"/>
  <c r="T28" i="72" s="1"/>
  <c r="S31" i="80"/>
  <c r="L22" i="80" s="1"/>
  <c r="U31" i="80"/>
  <c r="L24" i="80" s="1"/>
  <c r="V28" i="93"/>
  <c r="S30" i="93"/>
  <c r="U30" i="91"/>
  <c r="R31" i="54"/>
  <c r="R32" i="54"/>
  <c r="T32" i="54" s="1"/>
  <c r="R43" i="54"/>
  <c r="V27" i="86"/>
  <c r="U27" i="86"/>
  <c r="S29" i="86"/>
  <c r="U27" i="30"/>
  <c r="V27" i="30"/>
  <c r="S28" i="30"/>
  <c r="T34" i="78"/>
  <c r="R35" i="78"/>
  <c r="S33" i="78"/>
  <c r="T33" i="78"/>
  <c r="U35" i="78"/>
  <c r="L28" i="78" s="1"/>
  <c r="S35" i="78"/>
  <c r="L29" i="53"/>
  <c r="L31" i="53"/>
  <c r="T25" i="72"/>
  <c r="S25" i="72"/>
  <c r="U43" i="7"/>
  <c r="L26" i="7" s="1"/>
  <c r="S43" i="7"/>
  <c r="L24" i="7" s="1"/>
  <c r="S31" i="91"/>
  <c r="U27" i="72"/>
  <c r="S27" i="72"/>
  <c r="S29" i="4"/>
  <c r="T29" i="4" s="1"/>
  <c r="T26" i="3"/>
  <c r="V26" i="3"/>
  <c r="S27" i="3"/>
  <c r="V26" i="31"/>
  <c r="S27" i="31"/>
  <c r="S28" i="31" s="1"/>
  <c r="V28" i="31" s="1"/>
  <c r="S26" i="88"/>
  <c r="S27" i="88" s="1"/>
  <c r="V26" i="87"/>
  <c r="T26" i="87"/>
  <c r="S27" i="87"/>
  <c r="G36" i="71" l="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B40" i="53"/>
  <c r="B38" i="53"/>
  <c r="U28" i="72"/>
  <c r="R29" i="72"/>
  <c r="L25" i="80"/>
  <c r="L27" i="80"/>
  <c r="U30" i="93"/>
  <c r="T30" i="93"/>
  <c r="S31" i="93"/>
  <c r="T31" i="54"/>
  <c r="L25" i="54" s="1"/>
  <c r="S31" i="54"/>
  <c r="S43" i="54"/>
  <c r="U43" i="54"/>
  <c r="L26" i="54" s="1"/>
  <c r="T29" i="86"/>
  <c r="S30" i="86"/>
  <c r="V28" i="30"/>
  <c r="S30" i="30"/>
  <c r="L27" i="78"/>
  <c r="L26" i="78"/>
  <c r="L33" i="53"/>
  <c r="B39" i="53" s="1"/>
  <c r="M31" i="53"/>
  <c r="L29" i="7"/>
  <c r="L27" i="7"/>
  <c r="S32" i="91"/>
  <c r="U31" i="91"/>
  <c r="M25" i="91" s="1"/>
  <c r="S30" i="4"/>
  <c r="U30" i="4" s="1"/>
  <c r="U27" i="3"/>
  <c r="V27" i="3"/>
  <c r="S28" i="3"/>
  <c r="V27" i="31"/>
  <c r="U27" i="31"/>
  <c r="S29" i="31"/>
  <c r="T29" i="31" s="1"/>
  <c r="U27" i="88"/>
  <c r="V27" i="88"/>
  <c r="S28" i="88"/>
  <c r="V26" i="88"/>
  <c r="T26" i="88"/>
  <c r="V27" i="87"/>
  <c r="U27" i="87"/>
  <c r="S28" i="87"/>
  <c r="G36" i="85" l="1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24" i="54"/>
  <c r="L27" i="54" s="1"/>
  <c r="T30" i="86"/>
  <c r="U30" i="86"/>
  <c r="S31" i="86"/>
  <c r="S31" i="4"/>
  <c r="U31" i="4" s="1"/>
  <c r="M25" i="4" s="1"/>
  <c r="U30" i="30"/>
  <c r="T30" i="30"/>
  <c r="S31" i="30"/>
  <c r="L31" i="78"/>
  <c r="L29" i="78"/>
  <c r="E38" i="53"/>
  <c r="C38" i="53"/>
  <c r="I38" i="53"/>
  <c r="D40" i="53"/>
  <c r="J40" i="53" s="1"/>
  <c r="D38" i="53"/>
  <c r="J38" i="53" s="1"/>
  <c r="E41" i="53"/>
  <c r="M33" i="53"/>
  <c r="E39" i="53"/>
  <c r="B41" i="53"/>
  <c r="I41" i="53" s="1"/>
  <c r="I39" i="53"/>
  <c r="C40" i="53"/>
  <c r="E40" i="53"/>
  <c r="I40" i="53"/>
  <c r="B38" i="7"/>
  <c r="L31" i="7"/>
  <c r="M29" i="7"/>
  <c r="B36" i="7"/>
  <c r="V32" i="91"/>
  <c r="M26" i="91" s="1"/>
  <c r="T32" i="91"/>
  <c r="M24" i="91" s="1"/>
  <c r="T30" i="4"/>
  <c r="V28" i="3"/>
  <c r="S29" i="3"/>
  <c r="S30" i="31"/>
  <c r="V28" i="88"/>
  <c r="S29" i="88"/>
  <c r="V28" i="87"/>
  <c r="S29" i="87"/>
  <c r="T29" i="87" s="1"/>
  <c r="L29" i="54" l="1"/>
  <c r="L31" i="54" s="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M29" i="54"/>
  <c r="B36" i="54"/>
  <c r="U31" i="86"/>
  <c r="M25" i="86" s="1"/>
  <c r="S32" i="86"/>
  <c r="S32" i="4"/>
  <c r="V32" i="4" s="1"/>
  <c r="M26" i="4" s="1"/>
  <c r="U31" i="30"/>
  <c r="M25" i="30" s="1"/>
  <c r="S32" i="30"/>
  <c r="B40" i="78"/>
  <c r="B38" i="78"/>
  <c r="M31" i="78"/>
  <c r="L33" i="78"/>
  <c r="D39" i="53"/>
  <c r="J39" i="53" s="1"/>
  <c r="D41" i="53"/>
  <c r="J41" i="53" s="1"/>
  <c r="F40" i="53"/>
  <c r="G40" i="53" s="1"/>
  <c r="F38" i="53"/>
  <c r="D36" i="7"/>
  <c r="J36" i="7" s="1"/>
  <c r="D38" i="7"/>
  <c r="J38" i="7" s="1"/>
  <c r="I36" i="7"/>
  <c r="C36" i="7"/>
  <c r="E36" i="7"/>
  <c r="B39" i="7"/>
  <c r="I39" i="7" s="1"/>
  <c r="M31" i="7"/>
  <c r="C39" i="7"/>
  <c r="B37" i="7"/>
  <c r="I37" i="7" s="1"/>
  <c r="E38" i="7"/>
  <c r="I38" i="7"/>
  <c r="C38" i="7"/>
  <c r="M27" i="91"/>
  <c r="M29" i="91"/>
  <c r="T29" i="3"/>
  <c r="S30" i="3"/>
  <c r="S31" i="31"/>
  <c r="U31" i="31" s="1"/>
  <c r="U30" i="31"/>
  <c r="T30" i="31"/>
  <c r="T29" i="88"/>
  <c r="S30" i="88"/>
  <c r="S30" i="87"/>
  <c r="T30" i="87" s="1"/>
  <c r="B38" i="54" l="1"/>
  <c r="I38" i="54" s="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E37" i="7"/>
  <c r="C37" i="7"/>
  <c r="E39" i="7"/>
  <c r="R32" i="72"/>
  <c r="T32" i="72" s="1"/>
  <c r="S31" i="72"/>
  <c r="R33" i="72"/>
  <c r="T31" i="72"/>
  <c r="L26" i="72" s="1"/>
  <c r="F38" i="7"/>
  <c r="G38" i="7" s="1"/>
  <c r="F36" i="7"/>
  <c r="G36" i="7" s="1"/>
  <c r="T32" i="4"/>
  <c r="M24" i="4" s="1"/>
  <c r="M29" i="4" s="1"/>
  <c r="B38" i="4" s="1"/>
  <c r="M27" i="93"/>
  <c r="M29" i="93"/>
  <c r="D36" i="54"/>
  <c r="J36" i="54" s="1"/>
  <c r="D38" i="54"/>
  <c r="J38" i="54" s="1"/>
  <c r="I36" i="54"/>
  <c r="E36" i="54"/>
  <c r="F36" i="54" s="1"/>
  <c r="C36" i="54"/>
  <c r="M31" i="54"/>
  <c r="E39" i="54"/>
  <c r="C39" i="54"/>
  <c r="B37" i="54"/>
  <c r="I37" i="54" s="1"/>
  <c r="E37" i="54"/>
  <c r="C37" i="54"/>
  <c r="B39" i="54"/>
  <c r="I39" i="54" s="1"/>
  <c r="T32" i="86"/>
  <c r="M24" i="86" s="1"/>
  <c r="V32" i="86"/>
  <c r="M26" i="86" s="1"/>
  <c r="V32" i="30"/>
  <c r="M26" i="30" s="1"/>
  <c r="T32" i="30"/>
  <c r="M24" i="30" s="1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J70" i="53"/>
  <c r="M70" i="53" s="1"/>
  <c r="A70" i="53" s="1"/>
  <c r="G38" i="53"/>
  <c r="F41" i="53"/>
  <c r="G41" i="53" s="1"/>
  <c r="F39" i="53"/>
  <c r="G39" i="53" s="1"/>
  <c r="D37" i="7"/>
  <c r="J37" i="7" s="1"/>
  <c r="D39" i="7"/>
  <c r="J39" i="7" s="1"/>
  <c r="M30" i="91"/>
  <c r="N30" i="91" s="1"/>
  <c r="N29" i="91"/>
  <c r="U30" i="3"/>
  <c r="T30" i="3"/>
  <c r="S31" i="3"/>
  <c r="K71" i="91"/>
  <c r="N71" i="91" s="1"/>
  <c r="A71" i="91" s="1"/>
  <c r="S32" i="31"/>
  <c r="M25" i="31"/>
  <c r="U30" i="88"/>
  <c r="T30" i="88"/>
  <c r="S31" i="88"/>
  <c r="S31" i="87"/>
  <c r="U31" i="87" s="1"/>
  <c r="U30" i="87"/>
  <c r="F37" i="6" l="1"/>
  <c r="G37" i="6" s="1"/>
  <c r="F38" i="78"/>
  <c r="E38" i="54"/>
  <c r="F38" i="54" s="1"/>
  <c r="G38" i="54" s="1"/>
  <c r="C38" i="54"/>
  <c r="F63" i="55"/>
  <c r="G63" i="55"/>
  <c r="F39" i="7"/>
  <c r="G39" i="7" s="1"/>
  <c r="G36" i="6"/>
  <c r="G66" i="6" s="1"/>
  <c r="F66" i="6"/>
  <c r="J71" i="7"/>
  <c r="M71" i="7" s="1"/>
  <c r="A71" i="7" s="1"/>
  <c r="F37" i="7"/>
  <c r="G37" i="7" s="1"/>
  <c r="S33" i="72"/>
  <c r="L25" i="72" s="1"/>
  <c r="U33" i="72"/>
  <c r="L27" i="72" s="1"/>
  <c r="M27" i="4"/>
  <c r="N29" i="93"/>
  <c r="M30" i="93"/>
  <c r="N30" i="93" s="1"/>
  <c r="G36" i="54"/>
  <c r="D37" i="54"/>
  <c r="J37" i="54" s="1"/>
  <c r="D39" i="54"/>
  <c r="J39" i="54" s="1"/>
  <c r="M29" i="86"/>
  <c r="M27" i="86"/>
  <c r="M29" i="30"/>
  <c r="M27" i="30"/>
  <c r="G38" i="78"/>
  <c r="E39" i="78"/>
  <c r="E41" i="78"/>
  <c r="F40" i="78"/>
  <c r="G40" i="78" s="1"/>
  <c r="D39" i="78"/>
  <c r="J39" i="78" s="1"/>
  <c r="D41" i="78"/>
  <c r="J41" i="78" s="1"/>
  <c r="F67" i="53"/>
  <c r="G67" i="53"/>
  <c r="F68" i="7"/>
  <c r="G68" i="7"/>
  <c r="I38" i="4"/>
  <c r="E38" i="4"/>
  <c r="C38" i="4"/>
  <c r="B36" i="4"/>
  <c r="M30" i="4"/>
  <c r="N29" i="4"/>
  <c r="U31" i="3"/>
  <c r="M25" i="3" s="1"/>
  <c r="S32" i="3"/>
  <c r="T32" i="31"/>
  <c r="M24" i="31" s="1"/>
  <c r="V32" i="31"/>
  <c r="M26" i="31" s="1"/>
  <c r="M25" i="87"/>
  <c r="U31" i="88"/>
  <c r="M25" i="88" s="1"/>
  <c r="S32" i="88"/>
  <c r="S32" i="87"/>
  <c r="T32" i="87" s="1"/>
  <c r="M24" i="87" s="1"/>
  <c r="M29" i="87" s="1"/>
  <c r="B38" i="87" s="1"/>
  <c r="L30" i="72" l="1"/>
  <c r="L28" i="72"/>
  <c r="J70" i="54"/>
  <c r="M70" i="54" s="1"/>
  <c r="A70" i="54" s="1"/>
  <c r="F39" i="54"/>
  <c r="G39" i="54" s="1"/>
  <c r="F37" i="54"/>
  <c r="B36" i="86"/>
  <c r="N29" i="86"/>
  <c r="B38" i="86"/>
  <c r="M30" i="86"/>
  <c r="B38" i="30"/>
  <c r="M30" i="30"/>
  <c r="N29" i="30"/>
  <c r="B36" i="30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V32" i="3"/>
  <c r="M26" i="3" s="1"/>
  <c r="T32" i="3"/>
  <c r="M24" i="3" s="1"/>
  <c r="F68" i="91"/>
  <c r="G68" i="91"/>
  <c r="M27" i="31"/>
  <c r="M29" i="31"/>
  <c r="T32" i="88"/>
  <c r="M24" i="88" s="1"/>
  <c r="V32" i="88"/>
  <c r="M26" i="88" s="1"/>
  <c r="V32" i="87"/>
  <c r="M26" i="87" s="1"/>
  <c r="M27" i="87" s="1"/>
  <c r="B36" i="87"/>
  <c r="N29" i="87" l="1"/>
  <c r="M30" i="72"/>
  <c r="L31" i="72"/>
  <c r="M31" i="72" s="1"/>
  <c r="G37" i="54"/>
  <c r="G67" i="54" s="1"/>
  <c r="F67" i="54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I36" i="30"/>
  <c r="C36" i="30"/>
  <c r="E36" i="30"/>
  <c r="D36" i="30"/>
  <c r="D38" i="30"/>
  <c r="N30" i="30"/>
  <c r="E39" i="30"/>
  <c r="B37" i="30"/>
  <c r="I37" i="30" s="1"/>
  <c r="C37" i="30"/>
  <c r="B39" i="30"/>
  <c r="I39" i="30" s="1"/>
  <c r="E37" i="30"/>
  <c r="C39" i="30"/>
  <c r="C38" i="30"/>
  <c r="I38" i="30"/>
  <c r="E38" i="30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B38" i="31"/>
  <c r="B36" i="31"/>
  <c r="M29" i="3"/>
  <c r="M27" i="3"/>
  <c r="N29" i="31"/>
  <c r="M30" i="31"/>
  <c r="M29" i="88"/>
  <c r="B38" i="88" s="1"/>
  <c r="M27" i="88"/>
  <c r="M30" i="87"/>
  <c r="D38" i="87"/>
  <c r="K38" i="87" s="1"/>
  <c r="D36" i="87"/>
  <c r="K36" i="87" s="1"/>
  <c r="K71" i="87" s="1"/>
  <c r="N71" i="87" s="1"/>
  <c r="A71" i="87" s="1"/>
  <c r="D38" i="72" l="1"/>
  <c r="D37" i="72"/>
  <c r="F38" i="30"/>
  <c r="G38" i="30" s="1"/>
  <c r="F36" i="30"/>
  <c r="G36" i="30" s="1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D37" i="30"/>
  <c r="D39" i="30"/>
  <c r="F39" i="30" s="1"/>
  <c r="G39" i="30" s="1"/>
  <c r="J38" i="30"/>
  <c r="K38" i="30"/>
  <c r="K36" i="30"/>
  <c r="J36" i="30"/>
  <c r="I38" i="88"/>
  <c r="E38" i="88"/>
  <c r="C38" i="88"/>
  <c r="B39" i="87"/>
  <c r="I39" i="87" s="1"/>
  <c r="E37" i="87"/>
  <c r="C37" i="87"/>
  <c r="E39" i="87"/>
  <c r="C39" i="87"/>
  <c r="I36" i="31"/>
  <c r="E36" i="31"/>
  <c r="C36" i="31"/>
  <c r="I38" i="31"/>
  <c r="E38" i="31"/>
  <c r="C38" i="31"/>
  <c r="F39" i="4"/>
  <c r="J39" i="4"/>
  <c r="K39" i="4"/>
  <c r="K37" i="4"/>
  <c r="J37" i="4"/>
  <c r="B39" i="31"/>
  <c r="I39" i="31" s="1"/>
  <c r="B37" i="31"/>
  <c r="I37" i="31" s="1"/>
  <c r="M30" i="3"/>
  <c r="B38" i="3"/>
  <c r="N29" i="3"/>
  <c r="B36" i="3"/>
  <c r="N30" i="31"/>
  <c r="D36" i="31"/>
  <c r="K36" i="31" s="1"/>
  <c r="D38" i="31"/>
  <c r="K38" i="31" s="1"/>
  <c r="N30" i="87"/>
  <c r="D37" i="87" s="1"/>
  <c r="B37" i="87"/>
  <c r="I37" i="87" s="1"/>
  <c r="B36" i="88"/>
  <c r="M30" i="88"/>
  <c r="N29" i="88"/>
  <c r="F36" i="87"/>
  <c r="G36" i="87" s="1"/>
  <c r="F38" i="87"/>
  <c r="G38" i="87" s="1"/>
  <c r="J37" i="72" l="1"/>
  <c r="F37" i="72"/>
  <c r="J38" i="72"/>
  <c r="F38" i="72"/>
  <c r="G38" i="72" s="1"/>
  <c r="F39" i="86"/>
  <c r="G39" i="86" s="1"/>
  <c r="G36" i="86"/>
  <c r="F37" i="86"/>
  <c r="G37" i="86" s="1"/>
  <c r="E39" i="31"/>
  <c r="C37" i="31"/>
  <c r="E37" i="31"/>
  <c r="C39" i="31"/>
  <c r="J39" i="30"/>
  <c r="K39" i="30"/>
  <c r="J37" i="30"/>
  <c r="K37" i="30"/>
  <c r="K70" i="30" s="1"/>
  <c r="N70" i="30" s="1"/>
  <c r="A70" i="30" s="1"/>
  <c r="F37" i="30"/>
  <c r="G39" i="4"/>
  <c r="G66" i="4" s="1"/>
  <c r="I36" i="3"/>
  <c r="E36" i="3"/>
  <c r="C36" i="3"/>
  <c r="E39" i="88"/>
  <c r="E37" i="88"/>
  <c r="C39" i="88"/>
  <c r="C37" i="88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8" i="31"/>
  <c r="G38" i="31" s="1"/>
  <c r="D37" i="31"/>
  <c r="K37" i="31" s="1"/>
  <c r="D39" i="31"/>
  <c r="K39" i="31" s="1"/>
  <c r="F36" i="31"/>
  <c r="G36" i="31" s="1"/>
  <c r="F37" i="87"/>
  <c r="G37" i="87" s="1"/>
  <c r="D38" i="88"/>
  <c r="K38" i="88" s="1"/>
  <c r="D36" i="88"/>
  <c r="K36" i="88" s="1"/>
  <c r="N30" i="88"/>
  <c r="B37" i="88"/>
  <c r="I37" i="88" s="1"/>
  <c r="K37" i="87"/>
  <c r="G37" i="72" l="1"/>
  <c r="G62" i="72" s="1"/>
  <c r="F62" i="72"/>
  <c r="J65" i="72"/>
  <c r="M65" i="72" s="1"/>
  <c r="A65" i="72" s="1"/>
  <c r="F68" i="86"/>
  <c r="G68" i="86"/>
  <c r="F39" i="87"/>
  <c r="G39" i="87" s="1"/>
  <c r="G37" i="30"/>
  <c r="G67" i="30" s="1"/>
  <c r="F67" i="30"/>
  <c r="F38" i="3"/>
  <c r="G38" i="3" s="1"/>
  <c r="F36" i="3"/>
  <c r="G36" i="3" s="1"/>
  <c r="D39" i="3"/>
  <c r="K39" i="3" s="1"/>
  <c r="D37" i="3"/>
  <c r="K37" i="3" s="1"/>
  <c r="K71" i="31"/>
  <c r="N71" i="31" s="1"/>
  <c r="A71" i="31" s="1"/>
  <c r="F37" i="31"/>
  <c r="G37" i="31" s="1"/>
  <c r="F39" i="31"/>
  <c r="G39" i="31" s="1"/>
  <c r="F36" i="88"/>
  <c r="G36" i="88" s="1"/>
  <c r="F38" i="88"/>
  <c r="G38" i="88" s="1"/>
  <c r="D39" i="88"/>
  <c r="K39" i="88" s="1"/>
  <c r="D37" i="88"/>
  <c r="K37" i="88" s="1"/>
  <c r="G68" i="87"/>
  <c r="F68" i="87"/>
  <c r="F39" i="3" l="1"/>
  <c r="G39" i="3" s="1"/>
  <c r="F37" i="3"/>
  <c r="G37" i="3" s="1"/>
  <c r="G68" i="31"/>
  <c r="F68" i="31"/>
  <c r="K71" i="88"/>
  <c r="N71" i="88" s="1"/>
  <c r="A71" i="88" s="1"/>
  <c r="F37" i="88"/>
  <c r="G37" i="88" s="1"/>
  <c r="F39" i="88"/>
  <c r="G39" i="88" s="1"/>
  <c r="G66" i="3" l="1"/>
  <c r="F66" i="3"/>
  <c r="G68" i="88"/>
  <c r="F68" i="88"/>
  <c r="E279" i="39"/>
  <c r="E284" i="39"/>
  <c r="E282" i="39"/>
  <c r="E281" i="39"/>
  <c r="E278" i="39"/>
  <c r="E283" i="39"/>
  <c r="E280" i="39"/>
  <c r="E277" i="39"/>
  <c r="J53" i="55"/>
  <c r="J66" i="55" s="1"/>
  <c r="M66" i="55" s="1"/>
  <c r="A66" i="5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<sst xmlns="http://schemas.openxmlformats.org/spreadsheetml/2006/main" count="22528" uniqueCount="11235">
  <si>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</si>
  <si>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</si>
  <si>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</si>
  <si>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</si>
  <si>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</si>
  <si>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</si>
  <si>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</si>
  <si>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</si>
  <si>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</si>
  <si>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</si>
  <si>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</si>
  <si>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</si>
  <si>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</si>
  <si>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</si>
  <si>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</si>
  <si>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</si>
  <si>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</si>
  <si>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</si>
  <si>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</si>
  <si>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</si>
  <si>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</si>
  <si>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</si>
  <si>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</si>
  <si>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</si>
  <si>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</si>
  <si>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</si>
  <si>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</si>
  <si>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</si>
  <si>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</si>
  <si>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</si>
  <si>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</si>
  <si>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</si>
  <si>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</si>
  <si>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</si>
  <si>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</si>
  <si>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</si>
  <si>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</si>
  <si>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</si>
  <si>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</si>
  <si>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</si>
  <si>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</si>
  <si>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</si>
  <si>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</si>
  <si>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</si>
  <si>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</si>
  <si>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</si>
  <si>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</si>
  <si>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</si>
  <si>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</si>
  <si>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</si>
  <si>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</si>
  <si>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</si>
  <si>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</si>
  <si>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</si>
  <si>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</si>
  <si>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</si>
  <si>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</si>
  <si>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</si>
  <si>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</si>
  <si>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</si>
  <si>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</si>
  <si>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</si>
  <si>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</si>
  <si>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</si>
  <si>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</si>
  <si>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</si>
  <si>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</si>
  <si>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</si>
  <si>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</si>
  <si>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</si>
  <si>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</si>
  <si>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</si>
  <si>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</si>
  <si>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</si>
  <si>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</si>
  <si>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</si>
  <si>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</si>
  <si>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</si>
  <si>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</si>
  <si>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</si>
  <si>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</si>
  <si>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</si>
  <si>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</si>
  <si>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</si>
  <si>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</si>
  <si>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</si>
  <si>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</si>
  <si>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</si>
  <si>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</si>
  <si>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</si>
  <si>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</si>
  <si>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</si>
  <si>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</si>
  <si>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</si>
  <si>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</si>
  <si>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</si>
  <si>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</si>
  <si>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</si>
  <si>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</si>
  <si>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</si>
  <si>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</si>
  <si>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</si>
  <si>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</si>
  <si>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</si>
  <si>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</si>
  <si>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</si>
  <si>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</si>
  <si>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</si>
  <si>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</si>
  <si>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</si>
  <si>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</si>
  <si>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</si>
  <si>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</si>
  <si>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</si>
  <si>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</si>
  <si>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</si>
  <si>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</si>
  <si>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</si>
  <si>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</si>
  <si>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</si>
  <si>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</si>
  <si>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</si>
  <si>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</si>
  <si>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</si>
  <si>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</si>
  <si>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</si>
  <si>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</si>
  <si>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</si>
  <si>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</si>
  <si>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</si>
  <si>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</si>
  <si>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</si>
  <si>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</si>
  <si>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</si>
  <si>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</si>
  <si>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</si>
  <si>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</si>
  <si>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</si>
  <si>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</si>
  <si>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</si>
  <si>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</si>
  <si>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</si>
  <si>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</si>
  <si>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</si>
  <si>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</si>
  <si>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</si>
  <si>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</si>
  <si>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</si>
  <si>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</si>
  <si>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</si>
  <si>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</si>
  <si>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</si>
  <si>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</si>
  <si>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</si>
  <si>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</si>
  <si>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</si>
  <si>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</si>
  <si>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</si>
  <si>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</si>
  <si>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</si>
  <si>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</si>
  <si>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</si>
  <si>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</si>
  <si>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</si>
  <si>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</si>
  <si>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</si>
  <si>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</si>
  <si>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</si>
  <si>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</si>
  <si>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</si>
  <si>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</si>
  <si>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</si>
  <si>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</si>
  <si>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</si>
  <si>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</si>
  <si>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</si>
  <si>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</si>
  <si>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</si>
  <si>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</si>
  <si>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</si>
  <si>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</si>
  <si>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</si>
  <si>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</si>
  <si>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</si>
  <si>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</si>
  <si>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</si>
  <si>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</si>
  <si>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</si>
  <si>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</si>
  <si>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</si>
  <si>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</si>
  <si>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</si>
  <si>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</si>
  <si>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</si>
  <si>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</si>
  <si>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</si>
  <si>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</si>
  <si>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</si>
  <si>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</si>
  <si>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</si>
  <si>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</si>
  <si>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</si>
  <si>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</si>
  <si>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</si>
  <si>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</si>
  <si>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</si>
  <si>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</si>
  <si>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</si>
  <si>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</si>
  <si>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</si>
  <si>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</si>
  <si>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</si>
  <si>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</si>
  <si>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</si>
  <si>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</si>
  <si>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</si>
  <si>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</si>
  <si>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</si>
  <si>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</si>
  <si>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</si>
  <si>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</si>
  <si>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</si>
  <si>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</si>
  <si>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</si>
  <si>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</si>
  <si>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</si>
  <si>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</si>
  <si>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</si>
  <si>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</si>
  <si>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</si>
  <si>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</si>
  <si>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</si>
  <si>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</si>
  <si>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</si>
  <si>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</si>
  <si>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</si>
  <si>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</si>
  <si>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</si>
  <si>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</si>
  <si>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</si>
  <si>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</si>
  <si>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</si>
  <si>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</si>
  <si>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</si>
  <si>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</si>
  <si>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</si>
  <si>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</si>
  <si>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</si>
  <si>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</si>
  <si>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</si>
  <si>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</si>
  <si>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</si>
  <si>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</si>
  <si>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</si>
  <si>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</si>
  <si>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</si>
  <si>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</si>
  <si>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</si>
  <si>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</si>
  <si>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</si>
  <si>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</si>
  <si>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</si>
  <si>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</si>
  <si>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</si>
  <si>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</si>
  <si>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</si>
  <si>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</si>
  <si>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</si>
  <si>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</si>
  <si>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</si>
  <si>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</si>
  <si>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</si>
  <si>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</si>
  <si>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</si>
  <si>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</si>
  <si>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</si>
  <si>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</si>
  <si>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</si>
  <si>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</si>
  <si>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</si>
  <si>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</si>
  <si>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</si>
  <si>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</si>
  <si>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</si>
  <si>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</si>
  <si>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</si>
  <si>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</si>
  <si>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</si>
  <si>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</si>
  <si>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</si>
  <si>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</si>
  <si>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</si>
  <si>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</si>
  <si>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</si>
  <si>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</si>
  <si>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</si>
  <si>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</si>
  <si>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</si>
  <si>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</si>
  <si>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</si>
  <si>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</si>
  <si>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</si>
  <si>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</si>
  <si>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</si>
  <si>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</si>
  <si>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</si>
  <si>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</si>
  <si>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</si>
  <si>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</si>
  <si>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</si>
  <si>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</si>
  <si>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</si>
  <si>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</si>
  <si>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</si>
  <si>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</si>
  <si>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</si>
  <si>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</si>
  <si>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</si>
  <si>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</si>
  <si>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</si>
  <si>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</si>
  <si>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</si>
  <si>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</si>
  <si>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</si>
  <si>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</si>
  <si>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</si>
  <si>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</si>
  <si>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</si>
  <si>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</si>
  <si>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</si>
  <si>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</si>
  <si>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</si>
  <si>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</si>
  <si>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</si>
  <si>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</si>
  <si>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</si>
  <si>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</si>
  <si>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</si>
  <si>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</si>
  <si>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</si>
  <si>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</si>
  <si>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</si>
  <si>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</si>
  <si>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</si>
  <si>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</si>
  <si>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</si>
  <si>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</si>
  <si>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</si>
  <si>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</si>
  <si>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</si>
  <si>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</si>
  <si>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</si>
  <si>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</si>
  <si>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</si>
  <si>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</si>
  <si>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</si>
  <si>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</si>
  <si>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</si>
  <si>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</si>
  <si>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</si>
  <si>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</si>
  <si>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</si>
  <si>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</si>
  <si>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</si>
  <si>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</si>
  <si>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</si>
  <si>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</si>
  <si>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</si>
  <si>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</si>
  <si>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</si>
  <si>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</si>
  <si>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</si>
  <si>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</si>
  <si>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</si>
  <si>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</si>
  <si>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</si>
  <si>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</si>
  <si>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</si>
  <si>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</si>
  <si>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</si>
  <si>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</si>
  <si>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</si>
  <si>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</si>
  <si>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</si>
  <si>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</si>
  <si>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</si>
  <si>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</si>
  <si>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</si>
  <si>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</si>
  <si>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</si>
  <si>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</si>
  <si>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</si>
  <si>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</si>
  <si>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</si>
  <si>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</si>
  <si>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</si>
  <si>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</si>
  <si>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</si>
  <si>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</si>
  <si>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</si>
  <si>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</si>
  <si>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</si>
  <si>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</si>
  <si>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</si>
  <si>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</si>
  <si>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</si>
  <si>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</si>
  <si>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</si>
  <si>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</si>
  <si>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</si>
  <si>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</si>
  <si>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</si>
  <si>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</si>
  <si>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</si>
  <si>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</si>
  <si>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</si>
  <si>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</si>
  <si>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</si>
  <si>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</si>
  <si>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</si>
  <si>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</si>
  <si>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</si>
  <si>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</si>
  <si>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</si>
  <si>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</si>
  <si>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</si>
  <si>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</si>
  <si>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</si>
  <si>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</si>
  <si>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</si>
  <si>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</si>
  <si>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</si>
  <si>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</si>
  <si>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</si>
  <si>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</si>
  <si>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</si>
  <si>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</si>
  <si>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</si>
  <si>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</si>
  <si>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</si>
  <si>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</si>
  <si>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</si>
  <si>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</si>
  <si>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</si>
  <si>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</si>
  <si>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</si>
  <si>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</si>
  <si>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</si>
  <si>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</si>
  <si>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</si>
  <si>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</si>
  <si>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</si>
  <si>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</si>
  <si>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</si>
  <si>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</si>
  <si>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</si>
  <si>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</si>
  <si>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</si>
  <si>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</si>
  <si>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</si>
  <si>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</si>
  <si>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</si>
  <si>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</si>
  <si>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</si>
  <si>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</si>
  <si>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</si>
  <si>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</si>
  <si>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</si>
  <si>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</si>
  <si>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</si>
  <si>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</si>
  <si>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</si>
  <si>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</si>
  <si>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</si>
  <si>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</si>
  <si>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</si>
  <si>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</si>
  <si>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</si>
  <si>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</si>
  <si>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</si>
  <si>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</si>
  <si>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</si>
  <si>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</si>
  <si>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</si>
  <si>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</si>
  <si>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</si>
  <si>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</si>
  <si>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</si>
  <si>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</si>
  <si>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</si>
  <si>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</si>
  <si>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</si>
  <si>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</si>
  <si>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</si>
  <si>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</si>
  <si>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</si>
  <si>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</si>
  <si>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</si>
  <si>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</si>
  <si>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</si>
  <si>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</si>
  <si>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</si>
  <si>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</si>
  <si>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</si>
  <si>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</si>
  <si>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</si>
  <si>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</si>
  <si>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</si>
  <si>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</si>
  <si>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</si>
  <si>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</si>
  <si>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</si>
  <si>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</si>
  <si>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</si>
  <si>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</si>
  <si>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</si>
  <si>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</si>
  <si>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</si>
  <si>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</si>
  <si>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</si>
  <si>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</si>
  <si>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</si>
  <si>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</si>
  <si>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</si>
  <si>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</si>
  <si>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</si>
  <si>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</si>
  <si>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</si>
  <si>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</si>
  <si>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</si>
  <si>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</si>
  <si>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</si>
  <si>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</si>
  <si>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</si>
  <si>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</si>
  <si>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</si>
  <si>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</si>
  <si>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</si>
  <si>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</si>
  <si>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</si>
  <si>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</si>
  <si>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</si>
  <si>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</si>
  <si>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</si>
  <si>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</si>
  <si>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</si>
  <si>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</si>
  <si>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</si>
  <si>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</si>
  <si>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</si>
  <si>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</si>
  <si>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</si>
  <si>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</si>
  <si>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</si>
  <si>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</si>
  <si>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</si>
  <si>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</si>
  <si>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</si>
  <si>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</si>
  <si>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</si>
  <si>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</si>
  <si>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</si>
  <si>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</si>
  <si>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</si>
  <si>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</si>
  <si>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</si>
  <si>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</si>
  <si>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</si>
  <si>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</si>
  <si>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</si>
  <si>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</si>
  <si>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</si>
  <si>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</si>
  <si>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</si>
  <si>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</si>
  <si>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</si>
  <si>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</si>
  <si>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</si>
  <si>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</si>
  <si>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</si>
  <si>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</si>
  <si>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</si>
  <si>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</si>
  <si>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</si>
  <si>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</si>
  <si>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</si>
  <si>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</si>
  <si>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</si>
  <si>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</si>
  <si>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</si>
  <si>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</si>
  <si>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</si>
  <si>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</si>
  <si>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</si>
  <si>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</si>
  <si>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</si>
  <si>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</si>
  <si>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</si>
  <si>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</si>
  <si>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</si>
  <si>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</si>
  <si>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</si>
  <si>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</si>
  <si>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</si>
  <si>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</si>
  <si>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</si>
  <si>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</si>
  <si>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</si>
  <si>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</si>
  <si>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</si>
  <si>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</si>
  <si>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</si>
  <si>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</si>
  <si>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</si>
  <si>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</si>
  <si>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</si>
  <si>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</si>
  <si>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</si>
  <si>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</si>
  <si>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</si>
  <si>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</si>
  <si>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</si>
  <si>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</si>
  <si>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</si>
  <si>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</si>
  <si>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</si>
  <si>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</si>
  <si>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</si>
  <si>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</si>
  <si>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</si>
  <si>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</si>
  <si>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</si>
  <si>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</si>
  <si>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</si>
  <si>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</si>
  <si>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</si>
  <si>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</si>
  <si>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</si>
  <si>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</si>
  <si>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</si>
  <si>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</si>
  <si>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</si>
  <si>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</si>
  <si>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</si>
  <si>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</si>
  <si>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</si>
  <si>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</si>
  <si>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</si>
  <si>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</si>
  <si>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</si>
  <si>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</si>
  <si>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</si>
  <si>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</si>
  <si>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</si>
  <si>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</si>
  <si>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</si>
  <si>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</si>
  <si>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</si>
  <si>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</si>
  <si>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</si>
  <si>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</si>
  <si>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</si>
  <si>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</si>
  <si>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</si>
  <si>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</si>
  <si>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</si>
  <si>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</si>
  <si>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</si>
  <si>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</si>
  <si>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</si>
  <si>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</si>
  <si>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</si>
  <si>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</si>
  <si>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</si>
  <si>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</si>
  <si>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</si>
  <si>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</si>
  <si>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</si>
  <si>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</si>
  <si>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</si>
  <si>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</si>
  <si>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</si>
  <si>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</si>
  <si>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</si>
  <si>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</si>
  <si>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</si>
  <si>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</si>
  <si>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</si>
  <si>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</si>
  <si>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</si>
  <si>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</si>
  <si>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</si>
  <si>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</si>
  <si>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</si>
  <si>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</si>
  <si>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</si>
  <si>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</si>
  <si>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</si>
  <si>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</si>
  <si>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</si>
  <si>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</si>
  <si>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</si>
  <si>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</si>
  <si>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</si>
  <si>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</si>
  <si>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</si>
  <si>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</si>
  <si>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</si>
  <si>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</si>
  <si>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</si>
  <si>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</si>
  <si>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</si>
  <si>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</si>
  <si>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</si>
  <si>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</si>
  <si>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</si>
  <si>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</si>
  <si>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</si>
  <si>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</si>
  <si>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</si>
  <si>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</si>
  <si>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</si>
  <si>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</si>
  <si>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</si>
  <si>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</si>
  <si>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</si>
  <si>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</si>
  <si>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</si>
  <si>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</si>
  <si>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</si>
  <si>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</si>
  <si>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</si>
  <si>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</si>
  <si>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</si>
  <si>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</si>
  <si>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</si>
  <si>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</si>
  <si>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</si>
  <si>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</si>
  <si>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</si>
  <si>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</si>
  <si>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</si>
  <si>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</si>
  <si>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</si>
  <si>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</si>
  <si>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</si>
  <si>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</si>
  <si>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</si>
  <si>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</si>
  <si>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</si>
  <si>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</si>
  <si>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</si>
  <si>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</si>
  <si>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</si>
  <si>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</si>
  <si>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</si>
  <si>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</si>
  <si>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</si>
  <si>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</si>
  <si>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</si>
  <si>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</si>
  <si>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</si>
  <si>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</si>
  <si>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</si>
  <si>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</si>
  <si>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</si>
  <si>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</si>
  <si>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</si>
  <si>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</si>
  <si>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</si>
  <si>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</si>
  <si>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</si>
  <si>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</si>
  <si>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</si>
  <si>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</si>
  <si>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</si>
  <si>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</si>
  <si>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</si>
  <si>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</si>
  <si>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</si>
  <si>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</si>
  <si>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</si>
  <si>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</si>
  <si>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</si>
  <si>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</si>
  <si>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</si>
  <si>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</si>
  <si>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</si>
  <si>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</si>
  <si>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</si>
  <si>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</si>
  <si>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</si>
  <si>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</si>
  <si>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</si>
  <si>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</si>
  <si>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</si>
  <si>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</si>
  <si>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</si>
  <si>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</si>
  <si>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</si>
  <si>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</si>
  <si>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</si>
  <si>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</si>
  <si>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</si>
  <si>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</si>
  <si>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</si>
  <si>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</si>
  <si>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</si>
  <si>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</si>
  <si>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</si>
  <si>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</si>
  <si>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</si>
  <si>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</si>
  <si>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</si>
  <si>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</si>
  <si>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</si>
  <si>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</si>
  <si>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</si>
  <si>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</si>
  <si>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</si>
  <si>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</si>
  <si>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</si>
  <si>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</si>
  <si>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</si>
  <si>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</si>
  <si>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</si>
  <si>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</si>
  <si>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</si>
  <si>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</si>
  <si>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</si>
  <si>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</si>
  <si>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</si>
  <si>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</si>
  <si>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</si>
  <si>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</si>
  <si>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</si>
  <si>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</si>
  <si>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</si>
  <si>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</si>
  <si>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</si>
  <si>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</si>
  <si>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</si>
  <si>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</si>
  <si>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</si>
  <si>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</si>
  <si>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</si>
  <si>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</si>
  <si>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</si>
  <si>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</si>
  <si>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</si>
  <si>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</si>
  <si>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</si>
  <si>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</si>
  <si>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</si>
  <si>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</si>
  <si>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</si>
  <si>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</si>
  <si>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</si>
  <si>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</si>
  <si>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</si>
  <si>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</si>
  <si>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</si>
  <si>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</si>
  <si>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</si>
  <si>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</si>
  <si>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</si>
  <si>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</si>
  <si>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</si>
  <si>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</si>
  <si>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</si>
  <si>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</si>
  <si>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</si>
  <si>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</si>
  <si>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</si>
  <si>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</si>
  <si>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</si>
  <si>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</si>
  <si>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</si>
  <si>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</si>
  <si>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</si>
  <si>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</si>
  <si>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</si>
  <si>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</si>
  <si>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</si>
  <si>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</si>
  <si>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</si>
  <si>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</si>
  <si>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</si>
  <si>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</si>
  <si>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</si>
  <si>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</si>
  <si>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</si>
  <si>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</si>
  <si>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</si>
  <si>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</si>
  <si>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</si>
  <si>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</si>
  <si>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</si>
  <si>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</si>
  <si>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</si>
  <si>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</si>
  <si>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</si>
  <si>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</si>
  <si>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</si>
  <si>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</si>
  <si>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</si>
  <si>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</si>
  <si>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</si>
  <si>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</si>
  <si>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</si>
  <si>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</si>
  <si>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</si>
  <si>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</si>
  <si>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</si>
  <si>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</si>
  <si>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</si>
  <si>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</si>
  <si>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</si>
  <si>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</si>
  <si>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</si>
  <si>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</si>
  <si>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</si>
  <si>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</si>
  <si>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</si>
  <si>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</si>
  <si>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</si>
  <si>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</si>
  <si>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</si>
  <si>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</si>
  <si>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</si>
  <si>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</si>
  <si>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</si>
  <si>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</si>
  <si>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</si>
  <si>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</si>
  <si>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</si>
  <si>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</si>
  <si>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</si>
  <si>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</si>
  <si>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</si>
  <si>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</si>
  <si>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</si>
  <si>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</si>
  <si>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</si>
  <si>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</si>
  <si>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</si>
  <si>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</si>
  <si>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</si>
  <si>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</si>
  <si>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</si>
  <si>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</si>
  <si>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</si>
  <si>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</si>
  <si>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</si>
  <si>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</si>
  <si>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</si>
  <si>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</si>
  <si>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</si>
  <si>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</si>
  <si>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</si>
  <si>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</si>
  <si>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</si>
  <si>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</si>
  <si>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</si>
  <si>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</si>
  <si>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</si>
  <si>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</si>
  <si>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</si>
  <si>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</si>
  <si>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</si>
  <si>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</si>
  <si>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</si>
  <si>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</si>
  <si>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</si>
  <si>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</si>
  <si>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</si>
  <si>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</si>
  <si>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</si>
  <si>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</si>
  <si>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</si>
  <si>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</si>
  <si>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</si>
  <si>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</si>
  <si>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</si>
  <si>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</si>
  <si>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</si>
  <si>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</si>
  <si>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</si>
  <si>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</si>
  <si>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</si>
  <si>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</si>
  <si>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</si>
  <si>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</si>
  <si>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</si>
  <si>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</si>
  <si>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</si>
  <si>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</si>
  <si>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</si>
  <si>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</si>
  <si>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</si>
  <si>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</si>
  <si>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</si>
  <si>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</si>
  <si>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</si>
  <si>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</si>
  <si>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</si>
  <si>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</si>
  <si>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</si>
  <si>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</si>
  <si>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</si>
  <si>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</si>
  <si>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</si>
  <si>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</si>
  <si>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</si>
  <si>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</si>
  <si>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</si>
  <si>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</si>
  <si>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</si>
  <si>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</si>
  <si>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</si>
  <si>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</si>
  <si>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</si>
  <si>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</si>
  <si>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</si>
  <si>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</si>
  <si>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</si>
  <si>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</si>
  <si>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</si>
  <si>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</si>
  <si>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</si>
  <si>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</si>
  <si>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</si>
  <si>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</si>
  <si>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</si>
  <si>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</si>
  <si>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</si>
  <si>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</si>
  <si>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</si>
  <si>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</si>
  <si>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</si>
  <si>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</si>
  <si>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</si>
  <si>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</si>
  <si>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</si>
  <si>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</si>
  <si>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</si>
  <si>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</si>
  <si>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</si>
  <si>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</si>
  <si>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</si>
  <si>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</si>
  <si>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</si>
  <si>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</si>
  <si>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</si>
  <si>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</si>
  <si>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</si>
  <si>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</si>
  <si>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</si>
  <si>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</si>
  <si>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</si>
  <si>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</si>
  <si>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</si>
  <si>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</si>
  <si>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</si>
  <si>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</si>
  <si>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</si>
  <si>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</si>
  <si>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</si>
  <si>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</si>
  <si>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</si>
  <si>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</si>
  <si>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</si>
  <si>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</si>
  <si>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</si>
  <si>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</si>
  <si>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</si>
  <si>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</si>
  <si>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</si>
  <si>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</si>
  <si>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</si>
  <si>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</si>
  <si>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</si>
  <si>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</si>
  <si>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</si>
  <si>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</si>
  <si>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</si>
  <si>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</si>
  <si>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</si>
  <si>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</si>
  <si>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</si>
  <si>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</si>
  <si>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</si>
  <si>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</si>
  <si>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</si>
  <si>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</si>
  <si>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</si>
  <si>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</si>
  <si>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</si>
  <si>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</si>
  <si>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</si>
  <si>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</si>
  <si>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</si>
  <si>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</si>
  <si>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</si>
  <si>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</si>
  <si>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</si>
  <si>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</si>
  <si>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</si>
  <si>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</si>
  <si>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</si>
  <si>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</si>
  <si>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</si>
  <si>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</si>
  <si>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</si>
  <si>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</si>
  <si>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</si>
  <si>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</si>
  <si>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</si>
  <si>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</si>
  <si>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</si>
  <si>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</si>
  <si>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</si>
  <si>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</si>
  <si>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</si>
  <si>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</si>
  <si>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</si>
  <si>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</si>
  <si>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</si>
  <si>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</si>
  <si>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</si>
  <si>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</si>
  <si>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</si>
  <si>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</si>
  <si>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</si>
  <si>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</si>
  <si>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</si>
  <si>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</si>
  <si>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</si>
  <si>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</si>
  <si>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</si>
  <si>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</si>
  <si>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</si>
  <si>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</si>
  <si>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</si>
  <si>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</si>
  <si>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</si>
  <si>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</si>
  <si>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</si>
  <si>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</si>
  <si>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</si>
  <si>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</si>
  <si>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</si>
  <si>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</si>
  <si>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</si>
  <si>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</si>
  <si>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</si>
  <si>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</si>
  <si>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</si>
  <si>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</si>
  <si>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</si>
  <si>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</si>
  <si>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</si>
  <si>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</si>
  <si>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</si>
  <si>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</si>
  <si>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</si>
  <si>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</si>
  <si>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</si>
  <si>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</si>
  <si>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</si>
  <si>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</si>
  <si>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</si>
  <si>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</si>
  <si>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</si>
  <si>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</si>
  <si>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</si>
  <si>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</si>
  <si>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</si>
  <si>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</si>
  <si>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</si>
  <si>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</si>
  <si>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</si>
  <si>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</si>
  <si>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</si>
  <si>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</si>
  <si>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</si>
  <si>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</si>
  <si>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</si>
  <si>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</si>
  <si>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</si>
  <si>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</si>
  <si>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</si>
  <si>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</si>
  <si>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</si>
  <si>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</si>
  <si>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</si>
  <si>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</si>
  <si>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</si>
  <si>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</si>
  <si>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</si>
  <si>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</si>
  <si>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</si>
  <si>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</si>
  <si>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</si>
  <si>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</si>
  <si>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</si>
  <si>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</si>
  <si>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</si>
  <si>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</si>
  <si>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</si>
  <si>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</si>
  <si>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</si>
  <si>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</si>
  <si>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</si>
  <si>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</si>
  <si>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</si>
  <si>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</si>
  <si>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</si>
  <si>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</si>
  <si>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</si>
  <si>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</si>
  <si>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</si>
  <si>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</si>
  <si>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</si>
  <si>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</si>
  <si>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</si>
  <si>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</si>
  <si>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</si>
  <si>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</si>
  <si>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</si>
  <si>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</si>
  <si>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</si>
  <si>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</si>
  <si>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</si>
  <si>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</si>
  <si>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</si>
  <si>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</si>
  <si>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</si>
  <si>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</si>
  <si>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</si>
  <si>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</si>
  <si>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</si>
  <si>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</si>
  <si>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</si>
  <si>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</si>
  <si>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</si>
  <si>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</si>
  <si>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</si>
  <si>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</si>
  <si>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</si>
  <si>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</si>
  <si>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</si>
  <si>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</si>
  <si>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</si>
  <si>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</si>
  <si>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</si>
  <si>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</si>
  <si>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</si>
  <si>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</si>
  <si>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</si>
  <si>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</si>
  <si>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</si>
  <si>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</si>
  <si>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</si>
  <si>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</si>
  <si>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</si>
  <si>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</si>
  <si>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</si>
  <si>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</si>
  <si>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</si>
  <si>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</si>
  <si>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</si>
  <si>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</si>
  <si>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</si>
  <si>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</si>
  <si>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</si>
  <si>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</si>
  <si>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</si>
  <si>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</si>
  <si>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</si>
  <si>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</si>
  <si>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</si>
  <si>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</si>
  <si>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</si>
  <si>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</si>
  <si>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</si>
  <si>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</si>
  <si>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</si>
  <si>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</si>
  <si>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</si>
  <si>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</si>
  <si>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</si>
  <si>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</si>
  <si>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</si>
  <si>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</si>
  <si>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</si>
  <si>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</si>
  <si>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</si>
  <si>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</si>
  <si>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</si>
  <si>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</si>
  <si>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</si>
  <si>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</si>
  <si>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</si>
  <si>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</si>
  <si>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</si>
  <si>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</si>
  <si>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</si>
  <si>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</si>
  <si>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</si>
  <si>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</si>
  <si>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</si>
  <si>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</si>
  <si>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</si>
  <si>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</si>
  <si>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</si>
  <si>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</si>
  <si>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</si>
  <si>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</si>
  <si>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</si>
  <si>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</si>
  <si>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</si>
  <si>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</si>
  <si>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</si>
  <si>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</si>
  <si>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</si>
  <si>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</si>
  <si>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</si>
  <si>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</si>
  <si>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</si>
  <si>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</si>
  <si>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</si>
  <si>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</si>
  <si>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</si>
  <si>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</si>
  <si>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</si>
  <si>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</si>
  <si>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</si>
  <si>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</si>
  <si>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</si>
  <si>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</si>
  <si>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</si>
  <si>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</si>
  <si>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</si>
  <si>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</si>
  <si>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</si>
  <si>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</si>
  <si>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</si>
  <si>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</si>
  <si>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</si>
  <si>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</si>
  <si>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</si>
  <si>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</si>
  <si>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</si>
  <si>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</si>
  <si>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</si>
  <si>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</si>
  <si>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</si>
  <si>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</si>
  <si>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</si>
  <si>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</si>
  <si>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</si>
  <si>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</si>
  <si>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</si>
  <si>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</si>
  <si>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</si>
  <si>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</si>
  <si>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</si>
  <si>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</si>
  <si>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</si>
  <si>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</si>
  <si>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</si>
  <si>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</si>
  <si>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</si>
  <si>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</si>
  <si>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</si>
  <si>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</si>
  <si>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</si>
  <si>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</si>
  <si>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</si>
  <si>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</si>
  <si>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</si>
  <si>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</si>
  <si>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</si>
  <si>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</si>
  <si>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</si>
  <si>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</si>
  <si>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</si>
  <si>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</si>
  <si>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</si>
  <si>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</si>
  <si>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</si>
  <si>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</si>
  <si>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</si>
  <si>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</si>
  <si>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</si>
  <si>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</si>
  <si>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</si>
  <si>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</si>
  <si>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</si>
  <si>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</si>
  <si>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</si>
  <si>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</si>
  <si>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</si>
  <si>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</si>
  <si>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</si>
  <si>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</si>
  <si>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</si>
  <si>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</si>
  <si>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</si>
  <si>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</si>
  <si>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</si>
  <si>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</si>
  <si>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</si>
  <si>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</si>
  <si>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</si>
  <si>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</si>
  <si>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</si>
  <si>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</si>
  <si>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</si>
  <si>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</si>
  <si>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</si>
  <si>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</si>
  <si>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</si>
  <si>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</si>
  <si>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</si>
  <si>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</si>
  <si>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</si>
  <si>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</si>
  <si>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</si>
  <si>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</si>
  <si>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</si>
  <si>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</si>
  <si>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</si>
  <si>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</si>
  <si>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</si>
  <si>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</si>
  <si>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</si>
  <si>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</si>
  <si>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</si>
  <si>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</si>
  <si>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</si>
  <si>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</si>
  <si>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</si>
  <si>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</si>
  <si>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</si>
  <si>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</si>
  <si>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</si>
  <si>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</si>
  <si>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</si>
  <si>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</si>
  <si>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</si>
  <si>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</si>
  <si>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</si>
  <si>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</si>
  <si>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</si>
  <si>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</si>
  <si>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</si>
  <si>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</si>
  <si>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</si>
  <si>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</si>
  <si>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</si>
  <si>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</si>
  <si>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</si>
  <si>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</si>
  <si>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</si>
  <si>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</si>
  <si>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</si>
  <si>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</si>
  <si>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</si>
  <si>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</si>
  <si>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</si>
  <si>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</si>
  <si>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</si>
  <si>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</si>
  <si>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</si>
  <si>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</si>
  <si>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</si>
  <si>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</si>
  <si>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</si>
  <si>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</si>
  <si>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</si>
  <si>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</si>
  <si>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</si>
  <si>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</si>
  <si>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</si>
  <si>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</si>
  <si>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</si>
  <si>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</si>
  <si>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</si>
  <si>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</si>
  <si>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</si>
  <si>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</si>
  <si>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</si>
  <si>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</si>
  <si>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</si>
  <si>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</si>
  <si>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</si>
  <si>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</si>
  <si>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</si>
  <si>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</si>
  <si>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</si>
  <si>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</si>
  <si>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</si>
  <si>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</si>
  <si>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</si>
  <si>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</si>
  <si>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</si>
  <si>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</si>
  <si>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</si>
  <si>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</si>
  <si>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</si>
  <si>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</si>
  <si>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</si>
  <si>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</si>
  <si>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</si>
  <si>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</si>
  <si>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</si>
  <si>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</si>
  <si>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</si>
  <si>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</si>
  <si>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</si>
  <si>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</si>
  <si>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</si>
  <si>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</si>
  <si>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</si>
  <si>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</si>
  <si>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</si>
  <si>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</si>
  <si>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</si>
  <si>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</si>
  <si>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</si>
  <si>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</si>
  <si>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</si>
  <si>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</si>
  <si>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</si>
  <si>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</si>
  <si>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</si>
  <si>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</si>
  <si>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</si>
  <si>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</si>
  <si>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</si>
  <si>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</si>
  <si>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</si>
  <si>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</si>
  <si>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</si>
  <si>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</si>
  <si>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</si>
  <si>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</si>
  <si>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</si>
  <si>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</si>
  <si>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</si>
  <si>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</si>
  <si>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</si>
  <si>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</si>
  <si>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</si>
  <si>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</si>
  <si>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</si>
  <si>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</si>
  <si>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</si>
  <si>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</si>
  <si>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</si>
  <si>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</si>
  <si>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</si>
  <si>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</si>
  <si>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</si>
  <si>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</si>
  <si>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</si>
  <si>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</si>
  <si>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</si>
  <si>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</si>
  <si>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</si>
  <si>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</si>
  <si>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</si>
  <si>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</si>
  <si>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</si>
  <si>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</si>
  <si>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</si>
  <si>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</si>
  <si>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</si>
  <si>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</si>
  <si>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</si>
  <si>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</si>
  <si>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</si>
  <si>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</si>
  <si>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</si>
  <si>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</si>
  <si>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</si>
  <si>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</si>
  <si>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</si>
  <si>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</si>
  <si>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</si>
  <si>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</si>
  <si>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</si>
  <si>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</si>
  <si>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</si>
  <si>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</si>
  <si>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</si>
  <si>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</si>
  <si>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</si>
  <si>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</si>
  <si>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</si>
  <si>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</si>
  <si>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</si>
  <si>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</si>
  <si>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</si>
  <si>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</si>
  <si>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</si>
  <si>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</si>
  <si>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</si>
  <si>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</si>
  <si>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</si>
  <si>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</si>
  <si>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</si>
  <si>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</si>
  <si>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</si>
  <si>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</si>
  <si>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</si>
  <si>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</si>
  <si>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</si>
  <si>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</si>
  <si>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</si>
  <si>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</si>
  <si>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</si>
  <si>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</si>
  <si>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</si>
  <si>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</si>
  <si>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</si>
  <si>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</si>
  <si>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</si>
  <si>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</si>
  <si>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</si>
  <si>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</si>
  <si>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</si>
  <si>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</si>
  <si>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</si>
  <si>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</si>
  <si>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</si>
  <si>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</si>
  <si>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</si>
  <si>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</si>
  <si>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</si>
  <si>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</si>
  <si>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</si>
  <si>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</si>
  <si>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</si>
  <si>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</si>
  <si>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</si>
  <si>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</si>
  <si>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</si>
  <si>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</si>
  <si>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</si>
  <si>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</si>
  <si>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</si>
  <si>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</si>
  <si>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</si>
  <si>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</si>
  <si>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</si>
  <si>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</si>
  <si>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</si>
  <si>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</si>
  <si>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</si>
  <si>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</si>
  <si>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</si>
  <si>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</si>
  <si>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</si>
  <si>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</si>
  <si>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</si>
  <si>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</si>
  <si>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</si>
  <si>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</si>
  <si>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</si>
  <si>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</si>
  <si>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</si>
  <si>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</si>
  <si>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</si>
  <si>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</si>
  <si>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</si>
  <si>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</si>
  <si>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</si>
  <si>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</si>
  <si>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</si>
  <si>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</si>
  <si>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</si>
  <si>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</si>
  <si>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</si>
  <si>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</si>
  <si>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</si>
  <si>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</si>
  <si>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</si>
  <si>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</si>
  <si>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</si>
  <si>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</si>
  <si>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</si>
  <si>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</si>
  <si>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</si>
  <si>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</si>
  <si>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</si>
  <si>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</si>
  <si>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</si>
  <si>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</si>
  <si>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</si>
  <si>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</si>
  <si>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</si>
  <si>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</si>
  <si>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</si>
  <si>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</si>
  <si>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</si>
  <si>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</si>
  <si>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</si>
  <si>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</si>
  <si>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</si>
  <si>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</si>
  <si>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</si>
  <si>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</si>
  <si>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</si>
  <si>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</si>
  <si>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</si>
  <si>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</si>
  <si>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</si>
  <si>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</si>
  <si>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</si>
  <si>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</si>
  <si>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</si>
  <si>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</si>
  <si>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</si>
  <si>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</si>
  <si>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</si>
  <si>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</si>
  <si>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</si>
  <si>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</si>
  <si>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</si>
  <si>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</si>
  <si>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</si>
  <si>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</si>
  <si>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</si>
  <si>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</si>
  <si>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</si>
  <si>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</si>
  <si>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</si>
  <si>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</si>
  <si>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</si>
  <si>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</si>
  <si>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</si>
  <si>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</si>
  <si>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</si>
  <si>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</si>
  <si>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</si>
  <si>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</si>
  <si>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</si>
  <si>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</si>
  <si>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</si>
  <si>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</si>
  <si>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</si>
  <si>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</si>
  <si>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</si>
  <si>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</si>
  <si>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</si>
  <si>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</si>
  <si>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</si>
  <si>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</si>
  <si>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</si>
  <si>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</si>
  <si>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</si>
  <si>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</si>
  <si>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</si>
  <si>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</si>
  <si>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</si>
  <si>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</si>
  <si>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</si>
  <si>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</si>
  <si>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</si>
  <si>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</si>
  <si>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</si>
  <si>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</si>
  <si>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</si>
  <si>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</si>
  <si>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</si>
  <si>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</si>
  <si>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</si>
  <si>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</si>
  <si>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</si>
  <si>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</si>
  <si>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</si>
  <si>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</si>
  <si>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</si>
  <si>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</si>
  <si>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</si>
  <si>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</si>
  <si>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</si>
  <si>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</si>
  <si>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</si>
  <si>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</si>
  <si>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</si>
  <si>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</si>
  <si>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</si>
  <si>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</si>
  <si>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</si>
  <si>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</si>
  <si>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</si>
  <si>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</si>
  <si>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</si>
  <si>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</si>
  <si>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</si>
  <si>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</si>
  <si>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</si>
  <si>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</si>
  <si>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</si>
  <si>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</si>
  <si>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</si>
  <si>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</si>
  <si>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</si>
  <si>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</si>
  <si>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</si>
  <si>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</si>
  <si>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</si>
  <si>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</si>
  <si>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</si>
  <si>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</si>
  <si>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</si>
  <si>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</si>
  <si>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</si>
  <si>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</si>
  <si>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</si>
  <si>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</si>
  <si>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</si>
  <si>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</si>
  <si>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</si>
  <si>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</si>
  <si>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</si>
  <si>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</si>
  <si>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</si>
  <si>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</si>
  <si>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</si>
  <si>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</si>
  <si>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</si>
  <si>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</si>
  <si>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</si>
  <si>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</si>
  <si>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</si>
  <si>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</si>
  <si>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</si>
  <si>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</si>
  <si>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</si>
  <si>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</si>
  <si>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</si>
  <si>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</si>
  <si>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</si>
  <si>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</si>
  <si>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</si>
  <si>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</si>
  <si>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</si>
  <si>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</si>
  <si>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</si>
  <si>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</si>
  <si>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</si>
  <si>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</si>
  <si>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</si>
  <si>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</si>
  <si>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</si>
  <si>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</si>
  <si>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</si>
  <si>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</si>
  <si>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</si>
  <si>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</si>
  <si>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</si>
  <si>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</si>
  <si>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</si>
  <si>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</si>
  <si>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</si>
  <si>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</si>
  <si>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</si>
  <si>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</si>
  <si>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</si>
  <si>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</si>
  <si>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</si>
  <si>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</si>
  <si>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</si>
  <si>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</si>
  <si>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</si>
  <si>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</si>
  <si>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</si>
  <si>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</si>
  <si>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</si>
  <si>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</si>
  <si>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</si>
  <si>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</si>
  <si>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</si>
  <si>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</si>
  <si>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</si>
  <si>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</si>
  <si>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</si>
  <si>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</si>
  <si>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</si>
  <si>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</si>
  <si>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</si>
  <si>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</si>
  <si>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</si>
  <si>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</si>
  <si>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</si>
  <si>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</si>
  <si>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</si>
  <si>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</si>
  <si>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</si>
  <si>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</si>
  <si>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</si>
  <si>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</si>
  <si>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</si>
  <si>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</si>
  <si>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</si>
  <si>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</si>
  <si>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</si>
  <si>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</si>
  <si>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</si>
  <si>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</si>
  <si>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</si>
  <si>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</si>
  <si>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</si>
  <si>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</si>
  <si>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</si>
  <si>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</si>
  <si>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</si>
  <si>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</si>
  <si>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</si>
  <si>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</si>
  <si>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</si>
  <si>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</si>
  <si>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</si>
  <si>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</si>
  <si>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</si>
  <si>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</si>
  <si>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</si>
  <si>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</si>
  <si>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</si>
  <si>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</si>
  <si>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</si>
  <si>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</si>
  <si>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</si>
  <si>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</si>
  <si>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</si>
  <si>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</si>
  <si>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</si>
  <si>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</si>
  <si>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</si>
  <si>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</si>
  <si>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</si>
  <si>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</si>
  <si>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</si>
  <si>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</si>
  <si>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</si>
  <si>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</si>
  <si>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</si>
  <si>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</si>
  <si>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</si>
  <si>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</si>
  <si>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</si>
  <si>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</si>
  <si>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</si>
  <si>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</si>
  <si>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</si>
  <si>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</si>
  <si>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</si>
  <si>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</si>
  <si>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</si>
  <si>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</si>
  <si>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</si>
  <si>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</si>
  <si>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</si>
  <si>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</si>
  <si>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</si>
  <si>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</si>
  <si>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</si>
  <si>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</si>
  <si>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</si>
  <si>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</si>
  <si>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</si>
  <si>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</si>
  <si>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</si>
  <si>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</si>
  <si>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</si>
  <si>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</si>
  <si>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</si>
  <si>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</si>
  <si>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</si>
  <si>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</si>
  <si>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</si>
  <si>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</si>
  <si>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</si>
  <si>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</si>
  <si>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</si>
  <si>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</si>
  <si>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</si>
  <si>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</si>
  <si>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</si>
  <si>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</si>
  <si>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</si>
  <si>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</si>
  <si>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</si>
  <si>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</si>
  <si>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</si>
  <si>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</si>
  <si>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</si>
  <si>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</si>
  <si>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</si>
  <si>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</si>
  <si>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</si>
  <si>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</si>
  <si>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</si>
  <si>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</si>
  <si>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</si>
  <si>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</si>
  <si>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</si>
  <si>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</si>
  <si>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</si>
  <si>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</si>
  <si>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</si>
  <si>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</si>
  <si>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</si>
  <si>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</si>
  <si>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</si>
  <si>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</si>
  <si>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</si>
  <si>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</si>
  <si>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</si>
  <si>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</si>
  <si>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</si>
  <si>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</si>
  <si>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</si>
  <si>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</si>
  <si>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</si>
  <si>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</si>
  <si>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</si>
  <si>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</si>
  <si>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</si>
  <si>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</si>
  <si>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</si>
  <si>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</si>
  <si>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</si>
  <si>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</si>
  <si>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</si>
  <si>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</si>
  <si>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</si>
  <si>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</si>
  <si>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</si>
  <si>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</si>
  <si>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</si>
  <si>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</si>
  <si>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</si>
  <si>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</si>
  <si>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</si>
  <si>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</si>
  <si>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</si>
  <si>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</si>
  <si>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</si>
  <si>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</si>
  <si>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</si>
  <si>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</si>
  <si>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</si>
  <si>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</si>
  <si>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</si>
  <si>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</si>
  <si>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</si>
  <si>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</si>
  <si>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</si>
  <si>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</si>
  <si>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</si>
  <si>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</si>
  <si>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</si>
  <si>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</si>
  <si>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</si>
  <si>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</si>
  <si>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</si>
  <si>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</si>
  <si>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</si>
  <si>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</si>
  <si>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</si>
  <si>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</si>
  <si>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</si>
  <si>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</si>
  <si>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</si>
  <si>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</si>
  <si>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</si>
  <si>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</si>
  <si>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</si>
  <si>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</si>
  <si>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</si>
  <si>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</si>
  <si>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</si>
  <si>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</si>
  <si>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</si>
  <si>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</si>
  <si>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</si>
  <si>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</si>
  <si>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</si>
  <si>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</si>
  <si>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</si>
  <si>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</si>
  <si>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</si>
  <si>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</si>
  <si>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</si>
  <si>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</si>
  <si>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</si>
  <si>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</si>
  <si>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</si>
  <si>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</si>
  <si>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</si>
  <si>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</si>
  <si>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</si>
  <si>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</si>
  <si>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</si>
  <si>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</si>
  <si>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</si>
  <si>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</si>
  <si>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</si>
  <si>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</si>
  <si>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</si>
  <si>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</si>
  <si>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</si>
  <si>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</si>
  <si>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</si>
  <si>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</si>
  <si>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</si>
  <si>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</si>
  <si>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</si>
  <si>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</si>
  <si>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</si>
  <si>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</si>
  <si>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</si>
  <si>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</si>
  <si>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</si>
  <si>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</si>
  <si>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</si>
  <si>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</si>
  <si>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</si>
  <si>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</si>
  <si>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</si>
  <si>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</si>
  <si>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</si>
  <si>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</si>
  <si>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</si>
  <si>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</si>
  <si>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</si>
  <si>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</si>
  <si>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</si>
  <si>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</si>
  <si>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</si>
  <si>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</si>
  <si>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</si>
  <si>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</si>
  <si>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</si>
  <si>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</si>
  <si>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</si>
  <si>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</si>
  <si>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</si>
  <si>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</si>
  <si>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</si>
  <si>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</si>
  <si>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</si>
  <si>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</si>
  <si>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</si>
  <si>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</si>
  <si>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</si>
  <si>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</si>
  <si>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</si>
  <si>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</si>
  <si>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</si>
  <si>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</si>
  <si>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</si>
  <si>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</si>
  <si>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</si>
  <si>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</si>
  <si>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</si>
  <si>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</si>
  <si>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</si>
  <si>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</si>
  <si>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</si>
  <si>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</si>
  <si>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</si>
  <si>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</si>
  <si>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</si>
  <si>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</si>
  <si>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</si>
  <si>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</si>
  <si>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</si>
  <si>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</si>
  <si>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</si>
  <si>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</si>
  <si>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</si>
  <si>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</si>
  <si>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</si>
  <si>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</si>
  <si>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</si>
  <si>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</si>
  <si>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</si>
  <si>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</si>
  <si>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</si>
  <si>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</si>
  <si>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</si>
  <si>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</si>
  <si>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</si>
  <si>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</si>
  <si>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</si>
  <si>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</si>
  <si>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</si>
  <si>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</si>
  <si>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</si>
  <si>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</si>
  <si>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</si>
  <si>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</si>
  <si>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</si>
  <si>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</si>
  <si>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</si>
  <si>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</si>
  <si>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</si>
  <si>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</si>
  <si>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</si>
  <si>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</si>
  <si>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</si>
  <si>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</si>
  <si>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</si>
  <si>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</si>
  <si>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</si>
  <si>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</si>
  <si>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</si>
  <si>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</si>
  <si>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</si>
  <si>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</si>
  <si>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</si>
  <si>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</si>
  <si>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</si>
  <si>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</si>
  <si>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</si>
  <si>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</si>
  <si>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</si>
  <si>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</si>
  <si>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</si>
  <si>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</si>
  <si>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</si>
  <si>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</si>
  <si>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</si>
  <si>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</si>
  <si>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</si>
  <si>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</si>
  <si>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</si>
  <si>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</si>
  <si>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</si>
  <si>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</si>
  <si>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</si>
  <si>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</si>
  <si>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</si>
  <si>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</si>
  <si>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</si>
  <si>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</si>
  <si>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</si>
  <si>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</si>
  <si>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</si>
  <si>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</si>
  <si>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</si>
  <si>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</si>
  <si>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</si>
  <si>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</si>
  <si>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</si>
  <si>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</si>
  <si>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</si>
  <si>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</si>
  <si>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</si>
  <si>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</si>
  <si>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</si>
  <si>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</si>
  <si>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</si>
  <si>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</si>
  <si>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</si>
  <si>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</si>
  <si>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</si>
  <si>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</si>
  <si>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</si>
  <si>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</si>
  <si>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</si>
  <si>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</si>
  <si>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</si>
  <si>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</si>
  <si>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</si>
  <si>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</si>
  <si>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</si>
  <si>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</si>
  <si>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</si>
  <si>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</si>
  <si>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</si>
  <si>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</si>
  <si>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</si>
  <si>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</si>
  <si>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</si>
  <si>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</si>
  <si>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</si>
  <si>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</si>
  <si>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</si>
  <si>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</si>
  <si>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</si>
  <si>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</si>
  <si>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</si>
  <si>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</si>
  <si>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</si>
  <si>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</si>
  <si>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</si>
  <si>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</si>
  <si>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</si>
  <si>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</si>
  <si>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</si>
  <si>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</si>
  <si>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</si>
  <si>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</si>
  <si>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</si>
  <si>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</si>
  <si>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</si>
  <si>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</si>
  <si>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</si>
  <si>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</si>
  <si>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</si>
  <si>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</si>
  <si>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</si>
  <si>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</si>
  <si>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</si>
  <si>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</si>
  <si>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</si>
  <si>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</si>
  <si>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</si>
  <si>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</si>
  <si>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</si>
  <si>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</si>
  <si>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</si>
  <si>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</si>
  <si>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</si>
  <si>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</si>
  <si>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</si>
  <si>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</si>
  <si>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</si>
  <si>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</si>
  <si>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</si>
  <si>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</si>
  <si>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</si>
  <si>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</si>
  <si>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</si>
  <si>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</si>
  <si>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</si>
  <si>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</si>
  <si>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</si>
  <si>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</si>
  <si>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</si>
  <si>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</si>
  <si>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</si>
  <si>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</si>
  <si>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</si>
  <si>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</si>
  <si>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</si>
  <si>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</si>
  <si>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</si>
  <si>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</si>
  <si>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</si>
  <si>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</si>
  <si>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</si>
  <si>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</si>
  <si>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</si>
  <si>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</si>
  <si>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</si>
  <si>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</si>
  <si>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</si>
  <si>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</si>
  <si>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</si>
  <si>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</si>
  <si>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</si>
  <si>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</si>
  <si>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</si>
  <si>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</si>
  <si>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</si>
  <si>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</si>
  <si>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</si>
  <si>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</si>
  <si>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</si>
  <si>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</si>
  <si>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</si>
  <si>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</si>
  <si>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</si>
  <si>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</si>
  <si>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</si>
  <si>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</si>
  <si>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</si>
  <si>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</si>
  <si>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</si>
  <si>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</si>
  <si>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</si>
  <si>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</si>
  <si>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</si>
  <si>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</si>
  <si>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</si>
  <si>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</si>
  <si>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</si>
  <si>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</si>
  <si>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</si>
  <si>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</si>
  <si>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</si>
  <si>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</si>
  <si>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</si>
  <si>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</si>
  <si>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</si>
  <si>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</si>
  <si>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</si>
  <si>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</si>
  <si>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</si>
  <si>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</si>
  <si>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</si>
  <si>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</si>
  <si>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</si>
  <si>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</si>
  <si>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</si>
  <si>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</si>
  <si>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</si>
  <si>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</si>
  <si>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</si>
  <si>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</si>
  <si>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</si>
  <si>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</si>
  <si>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</si>
  <si>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</si>
  <si>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</si>
  <si>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</si>
  <si>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</si>
  <si>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</si>
  <si>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</si>
  <si>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</si>
  <si>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</si>
  <si>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</si>
  <si>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</si>
  <si>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</si>
  <si>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</si>
  <si>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</si>
  <si>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</si>
  <si>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</si>
  <si>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</si>
  <si>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</si>
  <si>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</si>
  <si>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</si>
  <si>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</si>
  <si>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</si>
  <si>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</si>
  <si>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</si>
  <si>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</si>
  <si>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</si>
  <si>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</si>
  <si>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</si>
  <si>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</si>
  <si>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</si>
  <si>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</si>
  <si>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</si>
  <si>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</si>
  <si>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</si>
  <si>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</si>
  <si>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</si>
  <si>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</si>
  <si>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</si>
  <si>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</si>
  <si>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</si>
  <si>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</si>
  <si>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</si>
  <si>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</si>
  <si>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</si>
  <si>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</si>
  <si>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</si>
  <si>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</si>
  <si>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</si>
  <si>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</si>
  <si>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</si>
  <si>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</si>
  <si>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</si>
  <si>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</si>
  <si>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</si>
  <si>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</si>
  <si>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</si>
  <si>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</si>
  <si>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</si>
  <si>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</si>
  <si>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</si>
  <si>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</si>
  <si>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</si>
  <si>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</si>
  <si>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</si>
  <si>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</si>
  <si>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</si>
  <si>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</si>
  <si>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</si>
  <si>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</si>
  <si>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</si>
  <si>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</si>
  <si>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</si>
  <si>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</si>
  <si>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</si>
  <si>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</si>
  <si>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</si>
  <si>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</si>
  <si>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</si>
  <si>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</si>
  <si>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</si>
  <si>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</si>
  <si>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</si>
  <si>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</si>
  <si>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</si>
  <si>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</si>
  <si>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</si>
  <si>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</si>
  <si>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</si>
  <si>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</si>
  <si>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</si>
  <si>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</si>
  <si>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</si>
  <si>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</si>
  <si>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</si>
  <si>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</si>
  <si>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</si>
  <si>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</si>
  <si>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</si>
  <si>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</si>
  <si>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</si>
  <si>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</si>
  <si>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</si>
  <si>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</si>
  <si>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</si>
  <si>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</si>
  <si>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</si>
  <si>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</si>
  <si>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</si>
  <si>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</si>
  <si>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</si>
  <si>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</si>
  <si>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</si>
  <si>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</si>
  <si>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</si>
  <si>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</si>
  <si>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</si>
  <si>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</si>
  <si>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</si>
  <si>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</si>
  <si>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</si>
  <si>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</si>
  <si>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</si>
  <si>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</si>
  <si>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</si>
  <si>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</si>
  <si>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</si>
  <si>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</si>
  <si>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</si>
  <si>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</si>
  <si>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</si>
  <si>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</si>
  <si>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</si>
  <si>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</si>
  <si>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</si>
  <si>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</si>
  <si>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</si>
  <si>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</si>
  <si>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</si>
  <si>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</si>
  <si>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</si>
  <si>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</si>
  <si>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</si>
  <si>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</si>
  <si>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</si>
  <si>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</si>
  <si>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</si>
  <si>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</si>
  <si>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</si>
  <si>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</si>
  <si>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</si>
  <si>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</si>
  <si>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</si>
  <si>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</si>
  <si>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</si>
  <si>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</si>
  <si>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</si>
  <si>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</si>
  <si>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</si>
  <si>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</si>
  <si>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</si>
  <si>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</si>
  <si>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</si>
  <si>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</si>
  <si>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</si>
  <si>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</si>
  <si>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</si>
  <si>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</si>
  <si>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</si>
  <si>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</si>
  <si>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</si>
  <si>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</si>
  <si>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</si>
  <si>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</si>
  <si>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</si>
  <si>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</si>
  <si>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</si>
  <si>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</si>
  <si>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</si>
  <si>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</si>
  <si>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</si>
  <si>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</si>
  <si>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</si>
  <si>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</si>
  <si>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</si>
  <si>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</si>
  <si>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</si>
  <si>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</si>
  <si>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</si>
  <si>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</si>
  <si>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</si>
  <si>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</si>
  <si>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</si>
  <si>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</si>
  <si>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</si>
  <si>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</si>
  <si>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</si>
  <si>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</si>
  <si>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</si>
  <si>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</si>
  <si>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</si>
  <si>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</si>
  <si>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</si>
  <si>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</si>
  <si>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</si>
  <si>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</si>
  <si>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</si>
  <si>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</si>
  <si>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</si>
  <si>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</si>
  <si>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</si>
  <si>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</si>
  <si>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</si>
  <si>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</si>
  <si>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</si>
  <si>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</si>
  <si>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</si>
  <si>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</si>
  <si>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</si>
  <si>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</si>
  <si>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</si>
  <si>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</si>
  <si>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</si>
  <si>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</si>
  <si>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</si>
  <si>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</si>
  <si>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</si>
  <si>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</si>
  <si>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</si>
  <si>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</si>
  <si>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</si>
  <si>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</si>
  <si>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</si>
  <si>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</si>
  <si>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</si>
  <si>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</si>
  <si>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</si>
  <si>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</si>
  <si>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</si>
  <si>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</si>
  <si>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</si>
  <si>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</si>
  <si>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</si>
  <si>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</si>
  <si>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</si>
  <si>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</si>
  <si>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</si>
  <si>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</si>
  <si>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</si>
  <si>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</si>
  <si>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</si>
  <si>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</si>
  <si>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</si>
  <si>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</si>
  <si>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</si>
  <si>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</si>
  <si>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</si>
  <si>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</si>
  <si>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</si>
  <si>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</si>
  <si>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</si>
  <si>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</si>
  <si>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</si>
  <si>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</si>
  <si>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</si>
  <si>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</si>
  <si>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</si>
  <si>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</si>
  <si>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</si>
  <si>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</si>
  <si>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</si>
  <si>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</si>
  <si>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</si>
  <si>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</si>
  <si>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</si>
  <si>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</si>
  <si>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</si>
  <si>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</si>
  <si>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</si>
  <si>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</si>
  <si>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</si>
  <si>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</si>
  <si>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</si>
  <si>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</si>
  <si>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</si>
  <si>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</si>
  <si>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</si>
  <si>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</si>
  <si>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</si>
  <si>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</si>
  <si>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</si>
  <si>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</si>
  <si>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</si>
  <si>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</si>
  <si>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</si>
  <si>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</si>
  <si>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</si>
  <si>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</si>
  <si>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</si>
  <si>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</si>
  <si>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</si>
  <si>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</si>
  <si>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</si>
  <si>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</si>
  <si>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</si>
  <si>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</si>
  <si>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</si>
  <si>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</si>
  <si>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</si>
  <si>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</si>
  <si>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</si>
  <si>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</si>
  <si>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</si>
  <si>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</si>
  <si>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</si>
  <si>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</si>
  <si>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</si>
  <si>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</si>
  <si>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</si>
  <si>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</si>
  <si>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</si>
  <si>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</si>
  <si>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</si>
  <si>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</si>
  <si>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</si>
  <si>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</si>
  <si>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</si>
  <si>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</si>
  <si>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</si>
  <si>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</si>
  <si>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</si>
  <si>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</si>
  <si>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</si>
  <si>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</si>
  <si>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</si>
  <si>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</si>
  <si>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</si>
  <si>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</si>
  <si>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</si>
  <si>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</si>
  <si>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</si>
  <si>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</si>
  <si>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</si>
  <si>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</si>
  <si>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</si>
  <si>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</si>
  <si>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</si>
  <si>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</si>
  <si>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</si>
  <si>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</si>
  <si>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</si>
  <si>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</si>
  <si>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</si>
  <si>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</si>
  <si>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</si>
  <si>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</si>
  <si>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</si>
  <si>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</si>
  <si>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</si>
  <si>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</si>
  <si>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</si>
  <si>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</si>
  <si>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</si>
  <si>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</si>
  <si>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</si>
  <si>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</si>
  <si>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</si>
  <si>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</si>
  <si>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</si>
  <si>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</si>
  <si>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</si>
  <si>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</si>
  <si>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</si>
  <si>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</si>
  <si>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</si>
  <si>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</si>
  <si>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</si>
  <si>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</si>
  <si>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</si>
  <si>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</si>
  <si>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</si>
  <si>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</si>
  <si>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</si>
  <si>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</si>
  <si>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</si>
  <si>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</si>
  <si>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</si>
  <si>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</si>
  <si>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</si>
  <si>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</si>
  <si>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</si>
  <si>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</si>
  <si>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</si>
  <si>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</si>
  <si>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</si>
  <si>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</si>
  <si>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</si>
  <si>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</si>
  <si>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</si>
  <si>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</si>
  <si>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</si>
  <si>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</si>
  <si>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</si>
  <si>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</si>
  <si>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</si>
  <si>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</si>
  <si>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</si>
  <si>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</si>
  <si>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</si>
  <si>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</si>
  <si>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</si>
  <si>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</si>
  <si>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</si>
  <si>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</si>
  <si>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</si>
  <si>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</si>
  <si>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</si>
  <si>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</si>
  <si>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</si>
  <si>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</si>
  <si>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</si>
  <si>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</si>
  <si>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</si>
  <si>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</si>
  <si>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</si>
  <si>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</si>
  <si>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</si>
  <si>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</si>
  <si>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</si>
  <si>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</si>
  <si>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</si>
  <si>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</si>
  <si>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</si>
  <si>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</si>
  <si>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</si>
  <si>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</si>
  <si>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</si>
  <si>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</si>
  <si>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</si>
  <si>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</si>
  <si>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</si>
  <si>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</si>
  <si>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</si>
  <si>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</si>
  <si>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</si>
  <si>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</si>
  <si>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</si>
  <si>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</si>
  <si>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</si>
  <si>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</si>
  <si>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</si>
  <si>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</si>
  <si>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</si>
  <si>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</si>
  <si>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</si>
  <si>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</si>
  <si>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</si>
  <si>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</si>
  <si>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</si>
  <si>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</si>
  <si>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</si>
  <si>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</si>
  <si>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</si>
  <si>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</si>
  <si>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</si>
  <si>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</si>
  <si>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</si>
  <si>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</si>
  <si>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</si>
  <si>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</si>
  <si>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</si>
  <si>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</si>
  <si>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</si>
  <si>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</si>
  <si>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</si>
  <si>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</si>
  <si>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</si>
  <si>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</si>
  <si>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</si>
  <si>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</si>
  <si>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</si>
  <si>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</si>
  <si>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</si>
  <si>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</si>
  <si>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</si>
  <si>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</si>
  <si>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</si>
  <si>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</si>
  <si>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</si>
  <si>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</si>
  <si>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</si>
  <si>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</si>
  <si>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</si>
  <si>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</si>
  <si>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</si>
  <si>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</si>
  <si>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</si>
  <si>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</si>
  <si>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</si>
  <si>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</si>
  <si>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</si>
  <si>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</si>
  <si>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</si>
  <si>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</si>
  <si>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</si>
  <si>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</si>
  <si>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</si>
  <si>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</si>
  <si>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</si>
  <si>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</si>
  <si>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</si>
  <si>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</si>
  <si>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</si>
  <si>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</si>
  <si>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</si>
  <si>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</si>
  <si>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</si>
  <si>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</si>
  <si>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</si>
  <si>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</si>
  <si>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</si>
  <si>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</si>
  <si>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</si>
  <si>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</si>
  <si>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</si>
  <si>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</si>
  <si>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</si>
  <si>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</si>
  <si>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</si>
  <si>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</si>
  <si>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</si>
  <si>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</si>
  <si>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</si>
  <si>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</si>
  <si>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</si>
  <si>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</si>
  <si>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</si>
  <si>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</si>
  <si>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</si>
  <si>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</si>
  <si>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</si>
  <si>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</si>
  <si>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</si>
  <si>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</si>
  <si>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</si>
  <si>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</si>
  <si>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</si>
  <si>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</si>
  <si>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</si>
  <si>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</si>
  <si>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</si>
  <si>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</si>
  <si>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</si>
  <si>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</si>
  <si>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</si>
  <si>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</si>
  <si>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</si>
  <si>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</si>
  <si>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</si>
  <si>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</si>
  <si>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</si>
  <si>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</si>
  <si>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</si>
  <si>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</si>
  <si>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</si>
  <si>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</si>
  <si>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</si>
  <si>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</si>
  <si>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</si>
  <si>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</si>
  <si>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</si>
  <si>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</si>
  <si>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</si>
  <si>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</si>
  <si>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</si>
  <si>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</si>
  <si>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</si>
  <si>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</si>
  <si>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</si>
  <si>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</si>
  <si>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</si>
  <si>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</si>
  <si>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</si>
  <si>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</si>
  <si>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</si>
  <si>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</si>
  <si>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</si>
  <si>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</si>
  <si>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</si>
  <si>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</si>
  <si>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</si>
  <si>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</si>
  <si>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</si>
  <si>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</si>
  <si>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</si>
  <si>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</si>
  <si>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</si>
  <si>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</si>
  <si>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</si>
  <si>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</si>
  <si>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</si>
  <si>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</si>
  <si>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</si>
  <si>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</si>
  <si>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</si>
  <si>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</si>
  <si>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</si>
  <si>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</si>
  <si>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</si>
  <si>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</si>
  <si>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</si>
  <si>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</si>
  <si>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</si>
  <si>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</si>
  <si>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</si>
  <si>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</si>
  <si>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</si>
  <si>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</si>
  <si>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</si>
  <si>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</si>
  <si>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</si>
  <si>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</si>
  <si>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</si>
  <si>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</si>
  <si>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</si>
  <si>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</si>
  <si>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</si>
  <si>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</si>
  <si>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</si>
  <si>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</si>
  <si>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</si>
  <si>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</si>
  <si>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</si>
  <si>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</si>
  <si>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</si>
  <si>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</si>
  <si>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</si>
  <si>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</si>
  <si>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</si>
  <si>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</si>
  <si>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</si>
  <si>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</si>
  <si>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</si>
  <si>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</si>
  <si>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</si>
  <si>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</si>
  <si>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</si>
  <si>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</si>
  <si>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</si>
  <si>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</si>
  <si>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</si>
  <si>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</si>
  <si>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</si>
  <si>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</si>
  <si>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</si>
  <si>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</si>
  <si>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</si>
  <si>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</si>
  <si>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</si>
  <si>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</si>
  <si>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</si>
  <si>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</si>
  <si>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</si>
  <si>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</si>
  <si>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</si>
  <si>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</si>
  <si>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</si>
  <si>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</si>
  <si>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</si>
  <si>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</si>
  <si>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</si>
  <si>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</si>
  <si>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</si>
  <si>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</si>
  <si>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</si>
  <si>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</si>
  <si>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</si>
  <si>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</si>
  <si>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</si>
  <si>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</si>
  <si>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</si>
  <si>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</si>
  <si>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</si>
  <si>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</si>
  <si>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</si>
  <si>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</si>
  <si>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</si>
  <si>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</si>
  <si>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</si>
  <si>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</si>
  <si>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</si>
  <si>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</si>
  <si>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</si>
  <si>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</si>
  <si>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</si>
  <si>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</si>
  <si>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</si>
  <si>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</si>
  <si>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</si>
  <si>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</si>
  <si>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</si>
  <si>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</si>
  <si>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</si>
  <si>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</si>
  <si>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</si>
  <si>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</si>
  <si>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</si>
  <si>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</si>
  <si>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</si>
  <si>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</si>
  <si>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</si>
  <si>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</si>
  <si>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</si>
  <si>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</si>
  <si>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</si>
  <si>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</si>
  <si>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</si>
  <si>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</si>
  <si>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</si>
  <si>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</si>
  <si>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</si>
  <si>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</si>
  <si>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</si>
  <si>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</si>
  <si>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</si>
  <si>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</si>
  <si>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</si>
  <si>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</si>
  <si>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</si>
  <si>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</si>
  <si>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</si>
  <si>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</si>
  <si>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</si>
  <si>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</si>
  <si>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</si>
  <si>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</si>
  <si>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</si>
  <si>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</si>
  <si>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</si>
  <si>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</si>
  <si>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</si>
  <si>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</si>
  <si>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</si>
  <si>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</si>
  <si>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</si>
  <si>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</si>
  <si>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</si>
  <si>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</si>
  <si>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</si>
  <si>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</si>
  <si>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</si>
  <si>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</si>
  <si>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</si>
  <si>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</si>
  <si>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</si>
  <si>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</si>
  <si>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</si>
  <si>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</si>
  <si>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</si>
  <si>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</si>
  <si>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</si>
  <si>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</si>
  <si>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</si>
  <si>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</si>
  <si>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</si>
  <si>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</si>
  <si>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</si>
  <si>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</si>
  <si>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</si>
  <si>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</si>
  <si>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</si>
  <si>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</si>
  <si>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</si>
  <si>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</si>
  <si>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</si>
  <si>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</si>
  <si>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</si>
  <si>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</si>
  <si>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</si>
  <si>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</si>
  <si>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</si>
  <si>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</si>
  <si>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</si>
  <si>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</si>
  <si>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</si>
  <si>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</si>
  <si>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</si>
  <si>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</si>
  <si>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</si>
  <si>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</si>
  <si>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</si>
  <si>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</si>
  <si>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</si>
  <si>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</si>
  <si>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</si>
  <si>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</si>
  <si>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</si>
  <si>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</si>
  <si>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</si>
  <si>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</si>
  <si>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</si>
  <si>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</si>
  <si>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</si>
  <si>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</si>
  <si>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</si>
  <si>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</si>
  <si>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</si>
  <si>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</si>
  <si>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</si>
  <si>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</si>
  <si>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</si>
  <si>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</si>
  <si>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</si>
  <si>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</si>
  <si>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</si>
  <si>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</si>
  <si>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</si>
  <si>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</si>
  <si>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</si>
  <si>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</si>
  <si>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</si>
  <si>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</si>
  <si>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</si>
  <si>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</si>
  <si>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</si>
  <si>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</si>
  <si>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</si>
  <si>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</si>
  <si>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</si>
  <si>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</si>
  <si>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</si>
  <si>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</si>
  <si>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</si>
  <si>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</si>
  <si>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</si>
  <si>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</si>
  <si>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</si>
  <si>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</si>
  <si>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</si>
  <si>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</si>
  <si>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</si>
  <si>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</si>
  <si>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</si>
  <si>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</si>
  <si>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</si>
  <si>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</si>
  <si>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</si>
  <si>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</si>
  <si>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</si>
  <si>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</si>
  <si>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</si>
  <si>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</si>
  <si>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</si>
  <si>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</si>
  <si>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</si>
  <si>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</si>
  <si>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</si>
  <si>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</si>
  <si>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</si>
  <si>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</si>
  <si>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</si>
  <si>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</si>
  <si>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</si>
  <si>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</si>
  <si>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</si>
  <si>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</si>
  <si>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</si>
  <si>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</si>
  <si>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</si>
  <si>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</si>
  <si>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</si>
  <si>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</si>
  <si>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</si>
  <si>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</si>
  <si>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</si>
  <si>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</si>
  <si>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</si>
  <si>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</si>
  <si>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</si>
  <si>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</si>
  <si>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</si>
  <si>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</si>
  <si>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</si>
  <si>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</si>
  <si>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</si>
  <si>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</si>
  <si>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</si>
  <si>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</si>
  <si>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</si>
  <si>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</si>
  <si>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</si>
  <si>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</si>
  <si>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</si>
  <si>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</si>
  <si>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</si>
  <si>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</si>
  <si>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</si>
  <si>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</si>
  <si>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</si>
  <si>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</si>
  <si>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</si>
  <si>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</si>
  <si>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</si>
  <si>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</si>
  <si>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</si>
  <si>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</si>
  <si>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</si>
  <si>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</si>
  <si>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</si>
  <si>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</si>
  <si>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</si>
  <si>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</si>
  <si>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</si>
  <si>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</si>
  <si>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</si>
  <si>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</si>
  <si>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</si>
  <si>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</si>
  <si>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</si>
  <si>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</si>
  <si>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</si>
  <si>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</si>
  <si>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</si>
  <si>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</si>
  <si>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</si>
  <si>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</si>
  <si>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</si>
  <si>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</si>
  <si>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</si>
  <si>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</si>
  <si>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</si>
  <si>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</si>
  <si>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</si>
  <si>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</si>
  <si>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</si>
  <si>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</si>
  <si>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</si>
  <si>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</si>
  <si>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</si>
  <si>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</si>
  <si>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</si>
  <si>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</si>
  <si>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</si>
  <si>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</si>
  <si>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</si>
  <si>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</si>
  <si>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</si>
  <si>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</si>
  <si>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</si>
  <si>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</si>
  <si>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</si>
  <si>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</si>
  <si>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</si>
  <si>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</si>
  <si>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</si>
  <si>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</si>
  <si>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</si>
  <si>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</si>
  <si>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</si>
  <si>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</si>
  <si>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</si>
  <si>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</si>
  <si>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</si>
  <si>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</si>
  <si>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</si>
  <si>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</si>
  <si>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</si>
  <si>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</si>
  <si>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</si>
  <si>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</si>
  <si>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</si>
  <si>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</si>
  <si>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</si>
  <si>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</si>
  <si>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</si>
  <si>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</si>
  <si>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</si>
  <si>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</si>
  <si>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</si>
  <si>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</si>
  <si>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</si>
  <si>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</si>
  <si>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</si>
  <si>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</si>
  <si>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</si>
  <si>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</si>
  <si>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</si>
  <si>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</si>
  <si>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</si>
  <si>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</si>
  <si>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</si>
  <si>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</si>
  <si>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</si>
  <si>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</si>
  <si>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</si>
  <si>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</si>
  <si>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</si>
  <si>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</si>
  <si>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</si>
  <si>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</si>
  <si>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</si>
  <si>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</si>
  <si>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</si>
  <si>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</si>
  <si>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</si>
  <si>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</si>
  <si>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</si>
  <si>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</si>
  <si>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</si>
  <si>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</si>
  <si>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</si>
  <si>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</si>
  <si>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</si>
  <si>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</si>
  <si>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</si>
  <si>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</si>
  <si>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</si>
  <si>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</si>
  <si>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</si>
  <si>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</si>
  <si>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</si>
  <si>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</si>
  <si>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</si>
  <si>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</si>
  <si>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</si>
  <si>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</si>
  <si>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</si>
  <si>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</si>
  <si>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</si>
  <si>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</si>
  <si>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</si>
  <si>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</si>
  <si>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</si>
  <si>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</si>
  <si>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</si>
  <si>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</si>
  <si>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</si>
  <si>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</si>
  <si>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</si>
  <si>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</si>
  <si>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</si>
  <si>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</si>
  <si>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</si>
  <si>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</si>
  <si>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</si>
  <si>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</si>
  <si>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</si>
  <si>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</si>
  <si>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</si>
  <si>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</si>
  <si>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</si>
  <si>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</si>
  <si>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</si>
  <si>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</si>
  <si>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</si>
  <si>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</si>
  <si>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</si>
  <si>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</si>
  <si>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</si>
  <si>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</si>
  <si>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</si>
  <si>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</si>
  <si>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</si>
  <si>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</si>
  <si>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</si>
  <si>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</si>
  <si>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</si>
  <si>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</si>
  <si>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</si>
  <si>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</si>
  <si>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</si>
  <si>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</si>
  <si>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</si>
  <si>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</si>
  <si>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</si>
  <si>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</si>
  <si>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</si>
  <si>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</si>
  <si>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</si>
  <si>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</si>
  <si>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</si>
  <si>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</si>
  <si>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</si>
  <si>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</si>
  <si>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</si>
  <si>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</si>
  <si>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</si>
  <si>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</si>
  <si>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</si>
  <si>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</si>
  <si>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</si>
  <si>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</si>
  <si>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</si>
  <si>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</si>
  <si>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</si>
  <si>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</si>
  <si>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</si>
  <si>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</si>
  <si>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</si>
  <si>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</si>
  <si>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</si>
  <si>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</si>
  <si>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</si>
  <si>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</si>
  <si>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</si>
  <si>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</si>
  <si>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</si>
  <si>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</si>
  <si>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</si>
  <si>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</si>
  <si>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</si>
  <si>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</si>
  <si>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</si>
  <si>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</si>
  <si>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</si>
  <si>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</si>
  <si>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</si>
  <si>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</si>
  <si>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</si>
  <si>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</si>
  <si>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</si>
  <si>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</si>
  <si>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</si>
  <si>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</si>
  <si>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</si>
  <si>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</si>
  <si>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</si>
  <si>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</si>
  <si>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</si>
  <si>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</si>
  <si>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</si>
  <si>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</si>
  <si>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</si>
  <si>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</si>
  <si>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</si>
  <si>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</si>
  <si>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</si>
  <si>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</si>
  <si>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</si>
  <si>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</si>
  <si>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</si>
  <si>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</si>
  <si>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</si>
  <si>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</si>
  <si>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</si>
  <si>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</si>
  <si>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</si>
  <si>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</si>
  <si>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</si>
  <si>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</si>
  <si>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</si>
  <si>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</si>
  <si>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</si>
  <si>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</si>
  <si>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</si>
  <si>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</si>
  <si>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</si>
  <si>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</si>
  <si>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</si>
  <si>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</si>
  <si>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</si>
  <si>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</si>
  <si>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</si>
  <si>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</si>
  <si>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</si>
  <si>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</si>
  <si>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</si>
  <si>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</si>
  <si>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</si>
  <si>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</si>
  <si>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</si>
  <si>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</si>
  <si>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</si>
  <si>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</si>
  <si>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</si>
  <si>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</si>
  <si>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</si>
  <si>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</si>
  <si>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</si>
  <si>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</si>
  <si>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</si>
  <si>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</si>
  <si>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</si>
  <si>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</si>
  <si>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</si>
  <si>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</si>
  <si>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</si>
  <si>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</si>
  <si>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</si>
  <si>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</si>
  <si>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</si>
  <si>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</si>
  <si>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</si>
  <si>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</si>
  <si>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</si>
  <si>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</si>
  <si>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</si>
  <si>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</si>
  <si>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</si>
  <si>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</si>
  <si>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</si>
  <si>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</si>
  <si>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</si>
  <si>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</si>
  <si>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</si>
  <si>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</si>
  <si>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</si>
  <si>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</si>
  <si>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</si>
  <si>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</si>
  <si>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</si>
  <si>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</si>
  <si>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</si>
  <si>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</si>
  <si>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</si>
  <si>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</si>
  <si>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</si>
  <si>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</si>
  <si>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</si>
  <si>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</si>
  <si>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</si>
  <si>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</si>
  <si>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</si>
  <si>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</si>
  <si>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</si>
  <si>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</si>
  <si>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</si>
  <si>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</si>
  <si>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</si>
  <si>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</si>
  <si>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</si>
  <si>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</si>
  <si>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</si>
  <si>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</si>
  <si>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</si>
  <si>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</si>
  <si>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</si>
  <si>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</si>
  <si>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</si>
  <si>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</si>
  <si>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</si>
  <si>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</si>
  <si>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</si>
  <si>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</si>
  <si>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</si>
  <si>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</si>
  <si>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</si>
  <si>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</si>
  <si>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</si>
  <si>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</si>
  <si>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</si>
  <si>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</si>
  <si>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</si>
  <si>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</si>
  <si>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</si>
  <si>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</si>
  <si>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</si>
  <si>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</si>
  <si>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</si>
  <si>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</si>
  <si>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</si>
  <si>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</si>
  <si>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</si>
  <si>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</si>
  <si>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</si>
  <si>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</si>
  <si>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</si>
  <si>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</si>
  <si>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</si>
  <si>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</si>
  <si>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</si>
  <si>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</si>
  <si>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</si>
  <si>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</si>
  <si>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</si>
  <si>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</si>
  <si>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</si>
  <si>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</si>
  <si>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</si>
  <si>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</si>
  <si>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</si>
  <si>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</si>
  <si>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</si>
  <si>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</si>
  <si>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</si>
  <si>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</si>
  <si>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</si>
  <si>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</si>
  <si>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</si>
  <si>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</si>
  <si>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</si>
  <si>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</si>
  <si>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</si>
  <si>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</si>
  <si>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</si>
  <si>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</si>
  <si>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</si>
  <si>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</si>
  <si>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</si>
  <si>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</si>
  <si>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</si>
  <si>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</si>
  <si>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</si>
  <si>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</si>
  <si>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</si>
  <si>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</si>
  <si>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</si>
  <si>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</si>
  <si>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</si>
  <si>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</si>
  <si>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</si>
  <si>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</si>
  <si>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</si>
  <si>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</si>
  <si>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</si>
  <si>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</si>
  <si>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</si>
  <si>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</si>
  <si>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</si>
  <si>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</si>
  <si>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</si>
  <si>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</si>
  <si>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</si>
  <si>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</si>
  <si>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</si>
  <si>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</si>
  <si>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</si>
  <si>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</si>
  <si>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</si>
  <si>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</si>
  <si>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</si>
  <si>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</si>
  <si>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</si>
  <si>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</si>
  <si>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</si>
  <si>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</si>
  <si>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</si>
  <si>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</si>
  <si>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</si>
  <si>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</si>
  <si>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</si>
  <si>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</si>
  <si>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</si>
  <si>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</si>
  <si>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</si>
  <si>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</si>
  <si>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</si>
  <si>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</si>
  <si>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</si>
  <si>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</si>
  <si>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</si>
  <si>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</si>
  <si>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</si>
  <si>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</si>
  <si>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</si>
  <si>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</si>
  <si>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</si>
  <si>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</si>
  <si>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</si>
  <si>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</si>
  <si>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</si>
  <si>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</si>
  <si>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</si>
  <si>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</si>
  <si>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</si>
  <si>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</si>
  <si>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</si>
  <si>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</si>
  <si>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</si>
  <si>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</si>
  <si>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</si>
  <si>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</si>
  <si>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</si>
  <si>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</si>
  <si>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</si>
  <si>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</si>
  <si>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</si>
  <si>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</si>
  <si>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</si>
  <si>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</si>
  <si>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</si>
  <si>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</si>
  <si>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</si>
  <si>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</si>
  <si>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</si>
  <si>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</si>
  <si>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</si>
  <si>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</si>
  <si>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</si>
  <si>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</si>
  <si>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</si>
  <si>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</si>
  <si>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</si>
  <si>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</si>
  <si>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</si>
  <si>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</si>
  <si>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</si>
  <si>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</si>
  <si>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</si>
  <si>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</si>
  <si>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</si>
  <si>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</si>
  <si>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</si>
  <si>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</si>
  <si>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</si>
  <si>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</si>
  <si>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</si>
  <si>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</si>
  <si>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</si>
  <si>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</si>
  <si>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</si>
  <si>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</si>
  <si>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</si>
  <si>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</si>
  <si>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</si>
  <si>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</si>
  <si>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</si>
  <si>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</si>
  <si>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</si>
  <si>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</si>
  <si>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</si>
  <si>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</si>
  <si>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</si>
  <si>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</si>
  <si>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</si>
  <si>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</si>
  <si>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</si>
  <si>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</si>
  <si>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</si>
  <si>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</si>
  <si>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</si>
  <si>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</si>
  <si>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</si>
  <si>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</si>
  <si>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</si>
  <si>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</si>
  <si>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</si>
  <si>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</si>
  <si>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</si>
  <si>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</si>
  <si>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</si>
  <si>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</si>
  <si>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</si>
  <si>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</si>
  <si>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</si>
  <si>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</si>
  <si>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</si>
  <si>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</si>
  <si>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</si>
  <si>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</si>
  <si>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</si>
  <si>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</si>
  <si>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</si>
  <si>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</si>
  <si>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</si>
  <si>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</si>
  <si>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</si>
  <si>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</si>
  <si>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</si>
  <si>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</si>
  <si>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</si>
  <si>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</si>
  <si>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</si>
  <si>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</si>
  <si>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</si>
  <si>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</si>
  <si>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</si>
  <si>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</si>
  <si>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</si>
  <si>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</si>
  <si>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</si>
  <si>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</si>
  <si>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</si>
  <si>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</si>
  <si>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</si>
  <si>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</si>
  <si>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</si>
  <si>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</si>
  <si>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</si>
  <si>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</si>
  <si>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</si>
  <si>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</si>
  <si>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</si>
  <si>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</si>
  <si>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</si>
  <si>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</si>
  <si>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</si>
  <si>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</si>
  <si>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</si>
  <si>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</si>
  <si>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</si>
  <si>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</si>
  <si>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</si>
  <si>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</si>
  <si>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</si>
  <si>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</si>
  <si>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</si>
  <si>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</si>
  <si>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</si>
  <si>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</si>
  <si>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</si>
  <si>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</si>
  <si>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</si>
  <si>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</si>
  <si>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</si>
  <si>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</si>
  <si>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</si>
  <si>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</si>
  <si>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</si>
  <si>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</si>
  <si>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</si>
  <si>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</si>
  <si>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</si>
  <si>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</si>
  <si>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</si>
  <si>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</si>
  <si>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</si>
  <si>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</si>
  <si>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</si>
  <si>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</si>
  <si>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</si>
  <si>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</si>
  <si>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</si>
  <si>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</si>
  <si>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</si>
  <si>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</si>
  <si>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</si>
  <si>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</si>
  <si>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</si>
  <si>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</si>
  <si>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</si>
  <si>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</si>
  <si>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</si>
  <si>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</si>
  <si>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</si>
  <si>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</si>
  <si>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</si>
  <si>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</si>
  <si>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</si>
  <si>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</si>
  <si>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</si>
  <si>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</si>
  <si>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</si>
  <si>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</si>
  <si>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</si>
  <si>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</si>
  <si>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</si>
  <si>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</si>
  <si>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</si>
  <si>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</si>
  <si>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</si>
  <si>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</si>
  <si>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</si>
  <si>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</si>
  <si>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</si>
  <si>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</si>
  <si>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</si>
  <si>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</si>
  <si>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</si>
  <si>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</si>
  <si>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</si>
  <si>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</si>
  <si>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</si>
  <si>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</si>
  <si>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</si>
  <si>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</si>
  <si>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</si>
  <si>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</si>
  <si>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</si>
  <si>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</si>
  <si>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</si>
  <si>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</si>
  <si>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</si>
  <si>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</si>
  <si>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</si>
  <si>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</si>
  <si>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</si>
  <si>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</si>
  <si>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</si>
  <si>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</si>
  <si>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</si>
  <si>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</si>
  <si>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</si>
  <si>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</si>
  <si>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</si>
  <si>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</si>
  <si>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</si>
  <si>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</si>
  <si>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</si>
  <si>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</si>
  <si>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</si>
  <si>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</si>
  <si>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</si>
  <si>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</si>
  <si>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</si>
  <si>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</si>
  <si>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</si>
  <si>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</si>
  <si>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</si>
  <si>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</si>
  <si>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</si>
  <si>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</si>
  <si>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</si>
  <si>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</si>
  <si>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</si>
  <si>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</si>
  <si>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</si>
  <si>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</si>
  <si>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</si>
  <si>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</si>
  <si>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</si>
  <si>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</si>
  <si>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</si>
  <si>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</si>
  <si>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</si>
  <si>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</si>
  <si>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</si>
  <si>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</si>
  <si>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</si>
  <si>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</si>
  <si>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</si>
  <si>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</si>
  <si>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</si>
  <si>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</si>
  <si>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</si>
  <si>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</si>
  <si>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</si>
  <si>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</si>
  <si>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</si>
  <si>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</si>
  <si>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</si>
  <si>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</si>
  <si>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</si>
  <si>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</si>
  <si>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</si>
  <si>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</si>
  <si>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</si>
  <si>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</si>
  <si>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</si>
  <si>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</si>
  <si>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</si>
  <si>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</si>
  <si>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</si>
  <si>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</si>
  <si>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</si>
  <si>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</si>
  <si>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</si>
  <si>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</si>
  <si>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</si>
  <si>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</si>
  <si>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</si>
  <si>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</si>
  <si>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</si>
  <si>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</si>
  <si>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</si>
  <si>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</si>
  <si>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</si>
  <si>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</si>
  <si>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</si>
  <si>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</si>
  <si>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</si>
  <si>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</si>
  <si>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</si>
  <si>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</si>
  <si>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</si>
  <si>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</si>
  <si>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</si>
  <si>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</si>
  <si>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</si>
  <si>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</si>
  <si>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</si>
  <si>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</si>
  <si>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</si>
  <si>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</si>
  <si>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</si>
  <si>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</si>
  <si>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</si>
  <si>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</si>
  <si>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</si>
  <si>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</si>
  <si>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</si>
  <si>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</si>
  <si>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</si>
  <si>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</si>
  <si>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</si>
  <si>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</si>
  <si>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</si>
  <si>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</si>
  <si>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</si>
  <si>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</si>
  <si>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</si>
  <si>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</si>
  <si>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</si>
  <si>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</si>
  <si>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</si>
  <si>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</si>
  <si>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</si>
  <si>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</si>
  <si>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</si>
  <si>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</si>
  <si>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</si>
  <si>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</si>
  <si>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</si>
  <si>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</si>
  <si>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</si>
  <si>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</si>
  <si>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</si>
  <si>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</si>
  <si>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</si>
  <si>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</si>
  <si>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</si>
  <si>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</si>
  <si>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</si>
  <si>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</si>
  <si>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</si>
  <si>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</si>
  <si>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</si>
  <si>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</si>
  <si>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</si>
  <si>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</si>
  <si>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</si>
  <si>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</si>
  <si>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</si>
  <si>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</si>
  <si>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</si>
  <si>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</si>
  <si>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</si>
  <si>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</si>
  <si>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</si>
  <si>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</si>
  <si>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</si>
  <si>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</si>
  <si>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</si>
  <si>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</si>
  <si>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</si>
  <si>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</si>
  <si>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</si>
  <si>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</si>
  <si>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</si>
  <si>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</si>
  <si>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</si>
  <si>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</si>
  <si>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</si>
  <si>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</si>
  <si>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</si>
  <si>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</si>
  <si>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</si>
  <si>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</si>
  <si>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</si>
  <si>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</si>
  <si>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</si>
  <si>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</si>
  <si>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</si>
  <si>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</si>
  <si>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</si>
  <si>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</si>
  <si>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</si>
  <si>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</si>
  <si>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</si>
  <si>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</si>
  <si>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</si>
  <si>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</si>
  <si>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</si>
  <si>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</si>
  <si>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</si>
  <si>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</si>
  <si>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</si>
  <si>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</si>
  <si>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</si>
  <si>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</si>
  <si>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</si>
  <si>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</si>
  <si>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</si>
  <si>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</si>
  <si>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</si>
  <si>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</si>
  <si>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</si>
  <si>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</si>
  <si>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</si>
  <si>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</si>
  <si>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</si>
  <si>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</si>
  <si>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</si>
  <si>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</si>
  <si>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</si>
  <si>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</si>
  <si>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</si>
  <si>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</si>
  <si>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</si>
  <si>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</si>
  <si>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</si>
  <si>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</si>
  <si>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</si>
  <si>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</si>
  <si>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</si>
  <si>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</si>
  <si>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</si>
  <si>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</si>
  <si>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</si>
  <si>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</si>
  <si>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</si>
  <si>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</si>
  <si>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</si>
  <si>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</si>
  <si>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</si>
  <si>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</si>
  <si>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</si>
  <si>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</si>
  <si>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</si>
  <si>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</si>
  <si>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</si>
  <si>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</si>
  <si>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</si>
  <si>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</si>
  <si>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</si>
  <si>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</si>
  <si>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</si>
  <si>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</si>
  <si>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</si>
  <si>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</si>
  <si>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</si>
  <si>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</si>
  <si>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</si>
  <si>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</si>
  <si>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</si>
  <si>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</si>
  <si>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</si>
  <si>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</si>
  <si>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</si>
  <si>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</si>
  <si>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</si>
  <si>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</si>
  <si>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</si>
  <si>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</si>
  <si>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</si>
  <si>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</si>
  <si>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</si>
  <si>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</si>
  <si>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</si>
  <si>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</si>
  <si>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</si>
  <si>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</si>
  <si>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</si>
  <si>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</si>
  <si>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</si>
  <si>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</si>
  <si>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</si>
  <si>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</si>
  <si>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</si>
  <si>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</si>
  <si>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</si>
  <si>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</si>
  <si>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</si>
  <si>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</si>
  <si>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</si>
  <si>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</si>
  <si>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</si>
  <si>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</si>
  <si>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</si>
  <si>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</si>
  <si>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</si>
  <si>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</si>
  <si>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</si>
  <si>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</si>
  <si>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</si>
  <si>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</si>
  <si>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</si>
  <si>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</si>
  <si>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</si>
  <si>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</si>
  <si>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</si>
  <si>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</si>
  <si>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</si>
  <si>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</si>
  <si>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</si>
  <si>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</si>
  <si>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</si>
  <si>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</si>
  <si>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</si>
  <si>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</si>
  <si>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</si>
  <si>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</si>
  <si>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</si>
  <si>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</si>
  <si>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</si>
  <si>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</si>
  <si>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</si>
  <si>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</si>
  <si>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</si>
  <si>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</si>
  <si>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</si>
  <si>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</si>
  <si>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</si>
  <si>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</si>
  <si>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</si>
  <si>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</si>
  <si>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</si>
  <si>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</si>
  <si>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</si>
  <si>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</si>
  <si>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</si>
  <si>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</si>
  <si>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</si>
  <si>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</si>
  <si>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</si>
  <si>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</si>
  <si>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</si>
  <si>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</si>
  <si>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</si>
  <si>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</si>
  <si>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</si>
  <si>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</si>
  <si>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</si>
  <si>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</si>
  <si>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</si>
  <si>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</si>
  <si>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</si>
  <si>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</si>
  <si>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</si>
  <si>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</si>
  <si>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</si>
  <si>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</si>
  <si>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</si>
  <si>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</si>
  <si>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</si>
  <si>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</si>
  <si>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</si>
  <si>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</si>
  <si>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</si>
  <si>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</si>
  <si>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</si>
  <si>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</si>
  <si>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</si>
  <si>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</si>
  <si>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</si>
  <si>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</si>
  <si>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</si>
  <si>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</si>
  <si>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</si>
  <si>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</si>
  <si>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</si>
  <si>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</si>
  <si>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</si>
  <si>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</si>
  <si>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</si>
  <si>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</si>
  <si>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</si>
  <si>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</si>
  <si>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</si>
  <si>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</si>
  <si>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</si>
  <si>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</si>
  <si>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</si>
  <si>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</si>
  <si>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</si>
  <si>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</si>
  <si>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</si>
  <si>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</si>
  <si>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</si>
  <si>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</si>
  <si>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</si>
  <si>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</si>
  <si>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</si>
  <si>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</si>
  <si>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</si>
  <si>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</si>
  <si>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</si>
  <si>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</si>
  <si>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</si>
  <si>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</si>
  <si>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</si>
  <si>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</si>
  <si>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</si>
  <si>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</si>
  <si>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</si>
  <si>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</si>
  <si>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</si>
  <si>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</si>
  <si>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</si>
  <si>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</si>
  <si>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</si>
  <si>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</si>
  <si>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</si>
  <si>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</si>
  <si>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</si>
  <si>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</si>
  <si>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</si>
  <si>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</si>
  <si>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</si>
  <si>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</si>
  <si>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</si>
  <si>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</si>
  <si>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</si>
  <si>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</si>
  <si>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</si>
  <si>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</si>
  <si>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</si>
  <si>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</si>
  <si>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</si>
  <si>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</si>
  <si>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</si>
  <si>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</si>
  <si>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</si>
  <si>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</si>
  <si>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</si>
  <si>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</si>
  <si>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</si>
  <si>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</si>
  <si>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</si>
  <si>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</si>
  <si>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</si>
  <si>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</si>
  <si>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</si>
  <si>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</si>
  <si>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</si>
  <si>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</si>
  <si>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</si>
  <si>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</si>
  <si>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</si>
  <si>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</si>
  <si>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</si>
  <si>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</si>
  <si>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</si>
  <si>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</si>
  <si>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</si>
  <si>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</si>
  <si>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</si>
  <si>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</si>
  <si>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</si>
  <si>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</si>
  <si>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</si>
  <si>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</si>
  <si>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</si>
  <si>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</si>
  <si>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</si>
  <si>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</si>
  <si>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</si>
  <si>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</si>
  <si>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</si>
  <si>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</si>
  <si>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</si>
  <si>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</si>
  <si>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</si>
  <si>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</si>
  <si>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</si>
  <si>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</si>
  <si>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</si>
  <si>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</si>
  <si>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</si>
  <si>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</si>
  <si>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</si>
  <si>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</si>
  <si>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</si>
  <si>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</si>
  <si>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</si>
  <si>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</si>
  <si>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</si>
  <si>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</si>
  <si>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</si>
  <si>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</si>
  <si>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</si>
  <si>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</si>
  <si>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</si>
  <si>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</si>
  <si>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</si>
  <si>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</si>
  <si>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</si>
  <si>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</si>
  <si>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</si>
  <si>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</si>
  <si>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</si>
  <si>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</si>
  <si>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</si>
  <si>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</si>
  <si>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</si>
  <si>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</si>
  <si>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</si>
  <si>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</si>
  <si>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</si>
  <si>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</si>
  <si>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</si>
  <si>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</si>
  <si>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</si>
  <si>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</si>
  <si>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</si>
  <si>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</si>
  <si>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</si>
  <si>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</si>
  <si>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</si>
  <si>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</si>
  <si>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</si>
  <si>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</si>
  <si>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</si>
  <si>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</si>
  <si>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</si>
  <si>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</si>
  <si>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</si>
  <si>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</si>
  <si>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</si>
  <si>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</si>
  <si>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</si>
  <si>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</si>
  <si>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</si>
  <si>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</si>
  <si>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</si>
  <si>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</si>
  <si>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</si>
  <si>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</si>
  <si>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</si>
  <si>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</si>
  <si>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</si>
  <si>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</si>
  <si>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</si>
  <si>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</si>
  <si>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</si>
  <si>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</si>
  <si>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</si>
  <si>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</si>
  <si>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</si>
  <si>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</si>
  <si>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</si>
  <si>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</si>
  <si>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</si>
  <si>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</si>
  <si>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</si>
  <si>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</si>
  <si>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</si>
  <si>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</si>
  <si>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</si>
  <si>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</si>
  <si>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</si>
  <si>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</si>
  <si>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</si>
  <si>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</si>
  <si>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</si>
  <si>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</si>
  <si>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</si>
  <si>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</si>
  <si>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</si>
  <si>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</si>
  <si>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</si>
  <si>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</si>
  <si>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</si>
  <si>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</si>
  <si>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</si>
  <si>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</si>
  <si>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</si>
  <si>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</si>
  <si>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</si>
  <si>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</si>
  <si>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</si>
  <si>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</si>
  <si>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</si>
  <si>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</si>
  <si>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</si>
  <si>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</si>
  <si>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</si>
  <si>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</si>
  <si>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</si>
  <si>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</si>
  <si>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</si>
  <si>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</si>
  <si>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</si>
  <si>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</si>
  <si>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</si>
  <si>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</si>
  <si>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</si>
  <si>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</si>
  <si>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</si>
  <si>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</si>
  <si>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</si>
  <si>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</si>
  <si>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</si>
  <si>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</si>
  <si>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</si>
  <si>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</si>
  <si>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</si>
  <si>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</si>
  <si>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</si>
  <si>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</si>
  <si>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</si>
  <si>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</si>
  <si>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</si>
  <si>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</si>
  <si>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</si>
  <si>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</si>
  <si>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</si>
  <si>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</si>
  <si>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</si>
  <si>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</si>
  <si>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</si>
  <si>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</si>
  <si>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</si>
  <si>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</si>
  <si>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</si>
  <si>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</si>
  <si>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</si>
  <si>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</si>
  <si>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</si>
  <si>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</si>
  <si>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</si>
  <si>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</si>
  <si>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</si>
  <si>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</si>
  <si>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</si>
  <si>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</si>
  <si>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</si>
  <si>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</si>
  <si>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</si>
  <si>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</si>
  <si>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</si>
  <si>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</si>
  <si>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</si>
  <si>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</si>
  <si>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</si>
  <si>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</si>
  <si>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</si>
  <si>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</si>
  <si>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</si>
  <si>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</si>
  <si>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</si>
  <si>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</si>
  <si>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</si>
  <si>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</si>
  <si>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</si>
  <si>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</si>
  <si>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</si>
  <si>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</si>
  <si>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</si>
  <si>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</si>
  <si>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</si>
  <si>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</si>
  <si>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</si>
  <si>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</si>
  <si>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</si>
  <si>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</si>
  <si>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</si>
  <si>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</si>
  <si>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</si>
  <si>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</si>
  <si>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</si>
  <si>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</si>
  <si>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</si>
  <si>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</si>
  <si>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</si>
  <si>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</si>
  <si>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</si>
  <si>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</si>
  <si>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</si>
  <si>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</si>
  <si>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</si>
  <si>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</si>
  <si>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</si>
  <si>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</si>
  <si>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</si>
  <si>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</si>
  <si>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</si>
  <si>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</si>
  <si>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</si>
  <si>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</si>
  <si>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</si>
  <si>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</si>
  <si>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</si>
  <si>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</si>
  <si>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</si>
  <si>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</si>
  <si>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</si>
  <si>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</si>
  <si>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</si>
  <si>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</si>
  <si>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</si>
  <si>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</si>
  <si>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</si>
  <si>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</si>
  <si>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</si>
  <si>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</si>
  <si>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</si>
  <si>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</si>
  <si>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</si>
  <si>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</si>
  <si>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</si>
  <si>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</si>
  <si>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</si>
  <si>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</si>
  <si>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</si>
  <si>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</si>
  <si>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</si>
  <si>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</si>
  <si>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</si>
  <si>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</si>
  <si>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</si>
  <si>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</si>
  <si>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</si>
  <si>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</si>
  <si>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</si>
  <si>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</si>
  <si>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</si>
  <si>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</si>
  <si>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</si>
  <si>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</si>
  <si>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</si>
  <si>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</si>
  <si>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</si>
  <si>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</si>
  <si>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</si>
  <si>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</si>
  <si>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</si>
  <si>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</si>
  <si>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</si>
  <si>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</si>
  <si>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</si>
  <si>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</si>
  <si>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</si>
  <si>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</si>
  <si>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</si>
  <si>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</si>
  <si>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</si>
  <si>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</si>
  <si>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</si>
  <si>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</si>
  <si>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</si>
  <si>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</si>
  <si>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</si>
  <si>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</si>
  <si>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</si>
  <si>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</si>
  <si>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</si>
  <si>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</si>
  <si>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</si>
  <si>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</si>
  <si>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</si>
  <si>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</si>
  <si>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</si>
  <si>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</si>
  <si>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</si>
  <si>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</si>
  <si>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</si>
  <si>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</si>
  <si>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</si>
  <si>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</si>
  <si>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</si>
  <si>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</si>
  <si>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</si>
  <si>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</si>
  <si>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</si>
  <si>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</si>
  <si>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</si>
  <si>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</si>
  <si>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</si>
  <si>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</si>
  <si>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</si>
  <si>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</si>
  <si>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</si>
  <si>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</si>
  <si>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</si>
  <si>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</si>
  <si>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</si>
  <si>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</si>
  <si>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</si>
  <si>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</si>
  <si>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</si>
  <si>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</si>
  <si>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</si>
  <si>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</si>
  <si>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</si>
  <si>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</si>
  <si>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</si>
  <si>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</si>
  <si>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</si>
  <si>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</si>
  <si>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</si>
  <si>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</si>
  <si>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</si>
  <si>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</si>
  <si>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</si>
  <si>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</si>
  <si>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</si>
  <si>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</si>
  <si>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</si>
  <si>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</si>
  <si>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</si>
  <si>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</si>
  <si>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</si>
  <si>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</si>
  <si>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</si>
  <si>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</si>
  <si>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</si>
  <si>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</si>
  <si>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</si>
  <si>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</si>
  <si>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</si>
  <si>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</si>
  <si>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</si>
  <si>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</si>
  <si>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</si>
  <si>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</si>
  <si>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</si>
  <si>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</si>
  <si>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</si>
  <si>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</si>
  <si>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</si>
  <si>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</si>
  <si>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</si>
  <si>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</si>
  <si>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</si>
  <si>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</si>
  <si>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</si>
  <si>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</si>
  <si>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</si>
  <si>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</si>
  <si>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</si>
  <si>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</si>
  <si>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</si>
  <si>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</si>
  <si>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</si>
  <si>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</si>
  <si>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</si>
  <si>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</si>
  <si>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</si>
  <si>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</si>
  <si>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</si>
  <si>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</si>
  <si>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</si>
  <si>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</si>
  <si>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</si>
  <si>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</si>
  <si>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</si>
  <si>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</si>
  <si>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</si>
  <si>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</si>
  <si>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</si>
  <si>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</si>
  <si>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</si>
  <si>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</si>
  <si>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</si>
  <si>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</si>
  <si>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</si>
  <si>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</si>
  <si>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</si>
  <si>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</si>
  <si>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</si>
  <si>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</si>
  <si>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</si>
  <si>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</si>
  <si>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</si>
  <si>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</si>
  <si>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</si>
  <si>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</si>
  <si>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</si>
  <si>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</si>
  <si>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</si>
  <si>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</si>
  <si>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</si>
  <si>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</si>
  <si>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</si>
  <si>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</si>
  <si>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</si>
  <si>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</si>
  <si>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</si>
  <si>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</si>
  <si>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</si>
  <si>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</si>
  <si>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</si>
  <si>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</si>
  <si>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</si>
  <si>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</si>
  <si>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</si>
  <si>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</si>
  <si>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</si>
  <si>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</si>
  <si>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</si>
  <si>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</si>
  <si>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</si>
  <si>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</si>
  <si>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</si>
  <si>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</si>
  <si>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</si>
  <si>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</si>
  <si>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</si>
  <si>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</si>
  <si>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</si>
  <si>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</si>
  <si>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</si>
  <si>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</si>
  <si>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</si>
  <si>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</si>
  <si>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</si>
  <si>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</si>
  <si>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</si>
  <si>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</si>
  <si>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</si>
  <si>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</si>
  <si>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</si>
  <si>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</si>
  <si>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</si>
  <si>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</si>
  <si>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</si>
  <si>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</si>
  <si>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</si>
  <si>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</si>
  <si>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</si>
  <si>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</si>
  <si>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</si>
  <si>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</si>
  <si>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</si>
  <si>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</si>
  <si>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</si>
  <si>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</si>
  <si>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</si>
  <si>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</si>
  <si>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</si>
  <si>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</si>
  <si>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</si>
  <si>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</si>
  <si>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</si>
  <si>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</si>
  <si>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</si>
  <si>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</si>
  <si>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</si>
  <si>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</si>
  <si>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</si>
  <si>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</si>
  <si>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</si>
  <si>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</si>
  <si>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</si>
  <si>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</si>
  <si>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</si>
  <si>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</si>
  <si>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</si>
  <si>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</si>
  <si>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</si>
  <si>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</si>
  <si>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</si>
  <si>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</si>
  <si>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</si>
  <si>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</si>
  <si>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</si>
  <si>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</si>
  <si>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</si>
  <si>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</si>
  <si>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</si>
  <si>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</si>
  <si>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</si>
  <si>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</si>
  <si>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</si>
  <si>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</si>
  <si>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</si>
  <si>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</si>
  <si>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</si>
  <si>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</si>
  <si>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</si>
  <si>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</si>
  <si>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</si>
  <si>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</si>
  <si>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</si>
  <si>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</si>
  <si>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</si>
  <si>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</si>
  <si>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</si>
  <si>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</si>
  <si>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</si>
  <si>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</si>
  <si>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</si>
  <si>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</si>
  <si>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</si>
  <si>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</si>
  <si>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</si>
  <si>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</si>
  <si>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</si>
  <si>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</si>
  <si>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</si>
  <si>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</si>
  <si>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</si>
  <si>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</si>
  <si>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</si>
  <si>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</si>
  <si>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</si>
  <si>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</si>
  <si>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</si>
  <si>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</si>
  <si>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</si>
  <si>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</si>
  <si>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</si>
  <si>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</si>
  <si>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</si>
  <si>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</si>
  <si>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</si>
  <si>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</si>
  <si>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</si>
  <si>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</si>
  <si>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</si>
  <si>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</si>
  <si>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</si>
  <si>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</si>
  <si>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</si>
  <si>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</si>
  <si>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</si>
  <si>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</si>
  <si>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</si>
  <si>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</si>
  <si>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</si>
  <si>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</si>
  <si>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</si>
  <si>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</si>
  <si>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</si>
  <si>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</si>
  <si>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</si>
  <si>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</si>
  <si>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</si>
  <si>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</si>
  <si>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</si>
  <si>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</si>
  <si>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</si>
  <si>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</si>
  <si>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</si>
  <si>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</si>
  <si>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</si>
  <si>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</si>
  <si>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</si>
  <si>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</si>
  <si>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</si>
  <si>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</si>
  <si>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</si>
  <si>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</si>
  <si>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</si>
  <si>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</si>
  <si>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</si>
  <si>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</si>
  <si>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</si>
  <si>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</si>
  <si>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</si>
  <si>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</si>
  <si>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</si>
  <si>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</si>
  <si>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</si>
  <si>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</si>
  <si>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</si>
  <si>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</si>
  <si>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</si>
  <si>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</si>
  <si>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</si>
  <si>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</si>
  <si>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</si>
  <si>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</si>
  <si>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</si>
  <si>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</si>
  <si>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</si>
  <si>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</si>
  <si>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</si>
  <si>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</si>
  <si>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</si>
  <si>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</si>
  <si>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</si>
  <si>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</si>
  <si>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</si>
  <si>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</si>
  <si>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</si>
  <si>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</si>
  <si>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</si>
  <si>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</si>
  <si>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</si>
  <si>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</si>
  <si>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</si>
  <si>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</si>
  <si>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</si>
  <si>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</si>
  <si>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</si>
  <si>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</si>
  <si>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</si>
  <si>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</si>
  <si>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</si>
  <si>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</si>
  <si>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</si>
  <si>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</si>
  <si>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</si>
  <si>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</si>
  <si>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</si>
  <si>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</si>
  <si>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</si>
  <si>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</si>
  <si>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</si>
  <si>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</si>
  <si>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</si>
  <si>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</si>
  <si>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</si>
  <si>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</si>
  <si>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</si>
  <si>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</si>
  <si>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</si>
  <si>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</si>
  <si>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</si>
  <si>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</si>
  <si>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</si>
  <si>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</si>
  <si>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</si>
  <si>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</si>
  <si>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</si>
  <si>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</si>
  <si>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</si>
  <si>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</si>
  <si>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</si>
  <si>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</si>
  <si>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</si>
  <si>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</si>
  <si>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</si>
  <si>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</si>
  <si>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</si>
  <si>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</si>
  <si>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</si>
  <si>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</si>
  <si>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</si>
  <si>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</si>
  <si>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</si>
  <si>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</si>
  <si>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</si>
  <si>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</si>
  <si>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</si>
  <si>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</si>
  <si>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</si>
  <si>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</si>
  <si>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</si>
  <si>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</si>
  <si>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</si>
  <si>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</si>
  <si>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</si>
  <si>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</si>
  <si>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</si>
  <si>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</si>
  <si>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</si>
  <si>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</si>
  <si>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</si>
  <si>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</si>
  <si>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</si>
  <si>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</si>
  <si>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</si>
  <si>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</si>
  <si>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</si>
  <si>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</si>
  <si>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</si>
  <si>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</si>
  <si>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</si>
  <si>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</si>
  <si>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</si>
  <si>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</si>
  <si>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</si>
  <si>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</si>
  <si>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</si>
  <si>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</si>
  <si>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</si>
  <si>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</si>
  <si>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</si>
  <si>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</si>
  <si>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</si>
  <si>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</si>
  <si>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</si>
  <si>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</si>
  <si>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</si>
  <si>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</si>
  <si>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</si>
  <si>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</si>
  <si>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</si>
  <si>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</si>
  <si>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</si>
  <si>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</si>
  <si>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</si>
  <si>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</si>
  <si>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</si>
  <si>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</si>
  <si>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</si>
  <si>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</si>
  <si>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</si>
  <si>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</si>
  <si>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</si>
  <si>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</si>
  <si>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</si>
  <si>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</si>
  <si>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</si>
  <si>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</si>
  <si>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</si>
  <si>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</si>
  <si>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</si>
  <si>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</si>
  <si>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</si>
  <si>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</si>
  <si>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</si>
  <si>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</si>
  <si>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</si>
  <si>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</si>
  <si>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</si>
  <si>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</si>
  <si>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</si>
  <si>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</si>
  <si>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</si>
  <si>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</si>
  <si>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</si>
  <si>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</si>
  <si>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</si>
  <si>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</si>
  <si>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</si>
  <si>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</si>
  <si>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</si>
  <si>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</si>
  <si>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</si>
  <si>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</si>
  <si>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</si>
  <si>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</si>
  <si>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</si>
  <si>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</si>
  <si>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</si>
  <si>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</si>
  <si>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</si>
  <si>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</si>
  <si>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</si>
  <si>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</si>
  <si>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</si>
  <si>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</si>
  <si>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</si>
  <si>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</si>
  <si>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</si>
  <si>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</si>
  <si>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</si>
  <si>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</si>
  <si>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</si>
  <si>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</si>
  <si>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</si>
  <si>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</si>
  <si>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</si>
  <si>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</si>
  <si>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</si>
  <si>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</si>
  <si>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</si>
  <si>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</si>
  <si>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</si>
  <si>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</si>
  <si>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</si>
  <si>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</si>
  <si>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</si>
  <si>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</si>
  <si>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</si>
  <si>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</si>
  <si>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</si>
  <si>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</si>
  <si>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</si>
  <si>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</si>
  <si>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</si>
  <si>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</si>
  <si>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</si>
  <si>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</si>
  <si>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</si>
  <si>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</si>
  <si>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</si>
  <si>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</si>
  <si>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</si>
  <si>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</si>
  <si>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</si>
  <si>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</si>
  <si>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</si>
  <si>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</si>
  <si>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</si>
  <si>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</si>
  <si>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</si>
  <si>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</si>
  <si>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</si>
  <si>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</si>
  <si>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</si>
  <si>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</si>
  <si>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</si>
  <si>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</si>
  <si>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</si>
  <si>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</si>
  <si>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</si>
  <si>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</si>
  <si>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</si>
  <si>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</si>
  <si>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</si>
  <si>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</si>
  <si>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</si>
  <si>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</si>
  <si>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</si>
  <si>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</si>
  <si>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</si>
  <si>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</si>
  <si>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</si>
  <si>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</si>
  <si>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</si>
  <si>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</si>
  <si>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</si>
  <si>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</si>
  <si>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</si>
  <si>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</si>
  <si>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</si>
  <si>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</si>
  <si>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</si>
  <si>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</si>
  <si>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</si>
  <si>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</si>
  <si>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</si>
  <si>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</si>
  <si>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</si>
  <si>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</si>
  <si>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</si>
  <si>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</si>
  <si>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</si>
  <si>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</si>
  <si>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</si>
  <si>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</si>
  <si>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</si>
  <si>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</si>
  <si>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</si>
  <si>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</si>
  <si>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</si>
  <si>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</si>
  <si>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</si>
  <si>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</si>
  <si>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</si>
  <si>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</si>
  <si>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</si>
  <si>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</si>
  <si>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</si>
  <si>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</si>
  <si>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</si>
  <si>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</si>
  <si>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</si>
  <si>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</si>
  <si>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</si>
  <si>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</si>
  <si>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</si>
  <si>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</si>
  <si>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</si>
  <si>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</si>
  <si>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</si>
  <si>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</si>
  <si>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</si>
  <si>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</si>
  <si>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</si>
  <si>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</si>
  <si>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</si>
  <si>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</si>
  <si>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</si>
  <si>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</si>
  <si>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</si>
  <si>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</si>
  <si>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</si>
  <si>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</si>
  <si>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</si>
  <si>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</si>
  <si>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</si>
  <si>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</si>
  <si>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</si>
  <si>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</si>
  <si>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</si>
  <si>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</si>
  <si>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</si>
  <si>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</si>
  <si>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</si>
  <si>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</si>
  <si>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</si>
  <si>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</si>
  <si>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</si>
  <si>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</si>
  <si>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</si>
  <si>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</si>
  <si>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</si>
  <si>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</si>
  <si>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</si>
  <si>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</si>
  <si>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</si>
  <si>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</si>
  <si>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</si>
  <si>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</si>
  <si>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</si>
  <si>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</si>
  <si>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</si>
  <si>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</si>
  <si>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</si>
  <si>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</si>
  <si>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</si>
  <si>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</si>
  <si>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</si>
  <si>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</si>
  <si>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</si>
  <si>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</si>
  <si>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</si>
  <si>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</si>
  <si>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</si>
  <si>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</si>
  <si>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</si>
  <si>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</si>
  <si>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</si>
  <si>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</si>
  <si>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</si>
  <si>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</si>
  <si>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</si>
  <si>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</si>
  <si>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</si>
  <si>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</si>
  <si>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</si>
  <si>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</si>
  <si>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</si>
  <si>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</si>
  <si>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</si>
  <si>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</si>
  <si>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</si>
  <si>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</si>
  <si>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</si>
  <si>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</si>
  <si>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</si>
  <si>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</si>
  <si>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</si>
  <si>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</si>
  <si>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</si>
  <si>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</si>
  <si>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</si>
  <si>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</si>
  <si>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</si>
  <si>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</si>
  <si>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</si>
  <si>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</si>
  <si>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</si>
  <si>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</si>
  <si>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</si>
  <si>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</si>
  <si>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</si>
  <si>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</si>
  <si>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</si>
  <si>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</si>
  <si>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</si>
  <si>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</si>
  <si>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</si>
  <si>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</si>
  <si>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</si>
  <si>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</si>
  <si>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</si>
  <si>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</si>
  <si>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</si>
  <si>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</si>
  <si>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</si>
  <si>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</si>
  <si>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</si>
  <si>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</si>
  <si>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</si>
  <si>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</si>
  <si>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</si>
  <si>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</si>
  <si>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</si>
  <si>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</si>
  <si>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</si>
  <si>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</si>
  <si>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</si>
  <si>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</si>
  <si>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</si>
  <si>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</si>
  <si>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</si>
  <si>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</si>
  <si>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</si>
  <si>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</si>
  <si>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</si>
  <si>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</si>
  <si>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</si>
  <si>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</si>
  <si>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</si>
  <si>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</si>
  <si>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</si>
  <si>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</si>
  <si>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</si>
  <si>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</si>
  <si>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</si>
  <si>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</si>
  <si>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</si>
  <si>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</si>
  <si>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</si>
  <si>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</si>
  <si>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</si>
  <si>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</si>
  <si>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</si>
  <si>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</si>
  <si>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</si>
  <si>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</si>
  <si>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</si>
  <si>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</si>
  <si>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</si>
  <si>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</si>
  <si>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</si>
  <si>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</si>
  <si>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</si>
  <si>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</si>
  <si>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</si>
  <si>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</si>
  <si>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</si>
  <si>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</si>
  <si>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</si>
  <si>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</si>
  <si>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</si>
  <si>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</si>
  <si>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</si>
  <si>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</si>
  <si>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</si>
  <si>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</si>
  <si>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</si>
  <si>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</si>
  <si>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</si>
  <si>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</si>
  <si>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</si>
  <si>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</si>
  <si>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</si>
  <si>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</si>
  <si>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</si>
  <si>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</si>
  <si>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</si>
  <si>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</si>
  <si>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</si>
  <si>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</si>
  <si>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</si>
  <si>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</si>
  <si>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</si>
  <si>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</si>
  <si>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</si>
  <si>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</si>
  <si>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</si>
  <si>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</si>
  <si>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</si>
  <si>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</si>
  <si>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</si>
  <si>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</si>
  <si>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</si>
  <si>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</si>
  <si>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</si>
  <si>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</si>
  <si>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</si>
  <si>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</si>
  <si>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</si>
  <si>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</si>
  <si>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</si>
  <si>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</si>
  <si>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</si>
  <si>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</si>
  <si>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</si>
  <si>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</si>
  <si>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</si>
  <si>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</si>
  <si>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</si>
  <si>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</si>
  <si>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</si>
  <si>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</si>
  <si>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</si>
  <si>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</si>
  <si>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</si>
  <si>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</si>
  <si>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</si>
  <si>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</si>
  <si>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</si>
  <si>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</si>
  <si>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</si>
  <si>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</si>
  <si>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</si>
  <si>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</si>
  <si>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</si>
  <si>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</si>
  <si>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</si>
  <si>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</si>
  <si>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</si>
  <si>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</si>
  <si>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</si>
  <si>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</si>
  <si>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</si>
  <si>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</si>
  <si>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</si>
  <si>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</si>
  <si>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</si>
  <si>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</si>
  <si>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</si>
  <si>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</si>
  <si>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</si>
  <si>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</si>
  <si>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</si>
  <si>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</si>
  <si>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</si>
  <si>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</si>
  <si>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</si>
  <si>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</si>
  <si>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</si>
  <si>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</si>
  <si>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</si>
  <si>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</si>
  <si>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</si>
  <si>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</si>
  <si>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</si>
  <si>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</si>
  <si>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</si>
  <si>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</si>
  <si>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</si>
  <si>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</si>
  <si>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</si>
  <si>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</si>
  <si>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</si>
  <si>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</si>
  <si>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</si>
  <si>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</si>
  <si>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</si>
  <si>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</si>
  <si>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</si>
  <si>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</si>
  <si>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</si>
  <si>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</si>
  <si>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</si>
  <si>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</si>
  <si>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</si>
  <si>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</si>
  <si>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</si>
  <si>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</si>
  <si>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</si>
  <si>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</si>
  <si>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</si>
  <si>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</si>
  <si>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</si>
  <si>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</si>
  <si>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</si>
  <si>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</si>
  <si>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</si>
  <si>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</si>
  <si>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</si>
  <si>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</si>
  <si>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</si>
  <si>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</si>
  <si>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</si>
  <si>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</si>
  <si>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</si>
  <si>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</si>
  <si>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</si>
  <si>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</si>
  <si>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</si>
  <si>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</si>
  <si>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</si>
  <si>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</si>
  <si>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</si>
  <si>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</si>
  <si>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</si>
  <si>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</si>
  <si>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</si>
  <si>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</si>
  <si>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</si>
  <si>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</si>
  <si>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</si>
  <si>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</si>
  <si>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</si>
  <si>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</si>
  <si>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</si>
  <si>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</si>
  <si>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</si>
  <si>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</si>
  <si>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</si>
  <si>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</si>
  <si>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</si>
  <si>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</si>
  <si>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</si>
  <si>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</si>
  <si>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</si>
  <si>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</si>
  <si>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</si>
  <si>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</si>
  <si>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</si>
  <si>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</si>
  <si>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</si>
  <si>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</si>
  <si>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</si>
  <si>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</si>
  <si>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</si>
  <si>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</si>
  <si>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</si>
  <si>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</si>
  <si>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</si>
  <si>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</si>
  <si>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</si>
  <si>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</si>
  <si>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</si>
  <si>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</si>
  <si>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</si>
  <si>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</si>
  <si>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</si>
  <si>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</si>
  <si>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</si>
  <si>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</si>
  <si>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</si>
  <si>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</si>
  <si>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</si>
  <si>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</si>
  <si>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</si>
  <si>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</si>
  <si>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</si>
  <si>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</si>
  <si>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</si>
  <si>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</si>
  <si>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</si>
  <si>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</si>
  <si>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</si>
  <si>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</si>
  <si>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</si>
  <si>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</si>
  <si>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</si>
  <si>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</si>
  <si>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</si>
  <si>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</si>
  <si>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</si>
  <si>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</si>
  <si>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</si>
  <si>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</si>
  <si>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</si>
  <si>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</si>
  <si>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</si>
  <si>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</si>
  <si>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</si>
  <si>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</si>
  <si>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</si>
  <si>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</si>
  <si>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</si>
  <si>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</si>
  <si>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</si>
  <si>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</si>
  <si>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</si>
  <si>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</si>
  <si>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</si>
  <si>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</si>
  <si>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</si>
  <si>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</si>
  <si>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</si>
  <si>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</si>
  <si>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</si>
  <si>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</si>
  <si>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</si>
  <si>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</si>
  <si>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</si>
  <si>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</si>
  <si>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</si>
  <si>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</si>
  <si>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</si>
  <si>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</si>
  <si>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</si>
  <si>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</si>
  <si>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</si>
  <si>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</si>
  <si>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</si>
  <si>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</si>
  <si>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</si>
  <si>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</si>
  <si>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</si>
  <si>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</si>
  <si>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</si>
  <si>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</si>
  <si>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</si>
  <si>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</si>
  <si>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</si>
  <si>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</si>
  <si>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</si>
  <si>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</si>
  <si>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</si>
  <si>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</si>
  <si>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</si>
  <si>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</si>
  <si>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</si>
  <si>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</si>
  <si>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</si>
  <si>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</si>
  <si>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</si>
  <si>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</si>
  <si>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</si>
  <si>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</si>
  <si>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</si>
  <si>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</si>
  <si>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</si>
  <si>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</si>
  <si>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</si>
  <si>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</si>
  <si>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</si>
  <si>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</si>
  <si>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</si>
  <si>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</si>
  <si>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</si>
  <si>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</si>
  <si>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</si>
  <si>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</si>
  <si>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</si>
  <si>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</si>
  <si>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</si>
  <si>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</si>
  <si>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</si>
  <si>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</si>
  <si>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</si>
  <si>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</si>
  <si>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</si>
  <si>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</si>
  <si>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</si>
  <si>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</si>
  <si>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</si>
  <si>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</si>
  <si>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</si>
  <si>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</si>
  <si>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</si>
  <si>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</si>
  <si>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</si>
  <si>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</si>
  <si>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</si>
  <si>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</si>
  <si>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</si>
  <si>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</si>
  <si>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</si>
  <si>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</si>
  <si>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</si>
  <si>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</si>
  <si>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</si>
  <si>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</si>
  <si>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</si>
  <si>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</si>
  <si>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</si>
  <si>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</si>
  <si>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</si>
  <si>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</si>
  <si>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</si>
  <si>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</si>
  <si>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</si>
  <si>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</si>
  <si>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</si>
  <si>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</si>
  <si>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</si>
  <si>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</si>
  <si>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</si>
  <si>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</si>
  <si>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</si>
  <si>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</si>
  <si>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</si>
  <si>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</si>
  <si>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</si>
  <si>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</si>
  <si>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</si>
  <si>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</si>
  <si>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</si>
  <si>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</si>
  <si>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</si>
  <si>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</si>
  <si>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</si>
  <si>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</si>
  <si>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</si>
  <si>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</si>
  <si>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</si>
  <si>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</si>
  <si>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</si>
  <si>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</si>
  <si>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</si>
  <si>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</si>
  <si>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</si>
  <si>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</si>
  <si>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</si>
  <si>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</si>
  <si>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</si>
  <si>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</si>
  <si>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</si>
  <si>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</si>
  <si>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</si>
  <si>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</si>
  <si>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</si>
  <si>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</si>
  <si>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</si>
  <si>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</si>
  <si>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</si>
  <si>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</si>
  <si>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</si>
  <si>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</si>
  <si>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</si>
  <si>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</si>
  <si>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</si>
  <si>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</si>
  <si>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</si>
  <si>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</si>
  <si>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</si>
  <si>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</si>
  <si>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</si>
  <si>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</si>
  <si>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</si>
  <si>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</si>
  <si>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</si>
  <si>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</si>
  <si>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</si>
  <si>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</si>
  <si>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</si>
  <si>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</si>
  <si>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</si>
  <si>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</si>
  <si>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</si>
  <si>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</si>
  <si>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</si>
  <si>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</si>
  <si>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</si>
  <si>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</si>
  <si>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</si>
  <si>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</si>
  <si>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</si>
  <si>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</si>
  <si>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</si>
  <si>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</si>
  <si>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</si>
  <si>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</si>
  <si>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</si>
  <si>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</si>
  <si>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</si>
  <si>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</si>
  <si>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</si>
  <si>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</si>
  <si>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</si>
  <si>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</si>
  <si>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</si>
  <si>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</si>
  <si>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</si>
  <si>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</si>
  <si>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</si>
  <si>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</si>
  <si>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</si>
  <si>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</si>
  <si>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</si>
  <si>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</si>
  <si>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</si>
  <si>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</si>
  <si>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</si>
  <si>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</si>
  <si>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</si>
  <si>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</si>
  <si>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</si>
  <si>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</si>
  <si>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</si>
  <si>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</si>
  <si>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</si>
  <si>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</si>
  <si>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</si>
  <si>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</si>
  <si>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</si>
  <si>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</si>
  <si>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</si>
  <si>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</si>
  <si>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</si>
  <si>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</si>
  <si>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</si>
  <si>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</si>
  <si>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</si>
  <si>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</si>
  <si>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</si>
  <si>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</si>
  <si>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</si>
  <si>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</si>
  <si>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</si>
  <si>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</si>
  <si>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</si>
  <si>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</si>
  <si>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</si>
  <si>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</si>
  <si>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</si>
  <si>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</si>
  <si>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</si>
  <si>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</si>
  <si>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</si>
  <si>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</si>
  <si>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</si>
  <si>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</si>
  <si>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</si>
  <si>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</si>
  <si>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</si>
  <si>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</si>
  <si>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</si>
  <si>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</si>
  <si>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</si>
  <si>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</si>
  <si>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</si>
  <si>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</si>
  <si>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</si>
  <si>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</si>
  <si>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</si>
  <si>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</si>
  <si>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</si>
  <si>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</si>
  <si>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</si>
  <si>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</si>
  <si>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</si>
  <si>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</si>
  <si>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</si>
  <si>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</si>
  <si>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</si>
  <si>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</si>
  <si>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</si>
  <si>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</si>
  <si>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</si>
  <si>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</si>
  <si>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</si>
  <si>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</si>
  <si>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</si>
  <si>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</si>
  <si>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</si>
  <si>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</si>
  <si>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</si>
  <si>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</si>
  <si>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</si>
  <si>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</si>
  <si>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</si>
  <si>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</si>
  <si>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</si>
  <si>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</si>
  <si>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</si>
  <si>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</si>
  <si>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</si>
  <si>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</si>
  <si>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</si>
  <si>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</si>
  <si>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</si>
  <si>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</si>
  <si>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</si>
  <si>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</si>
  <si>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</si>
  <si>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</si>
  <si>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</si>
  <si>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</si>
  <si>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</si>
  <si>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</si>
  <si>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</si>
  <si>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</si>
  <si>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</si>
  <si>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</si>
  <si>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</si>
  <si>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</si>
  <si>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</si>
  <si>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</si>
  <si>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</si>
  <si>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</si>
  <si>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</si>
  <si>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</si>
  <si>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</si>
  <si>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</si>
  <si>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</si>
  <si>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</si>
  <si>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</si>
  <si>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</si>
  <si>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</si>
  <si>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</si>
  <si>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</si>
  <si>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</si>
  <si>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</si>
  <si>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</si>
  <si>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</si>
  <si>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</si>
  <si>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</si>
  <si>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</si>
  <si>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</si>
  <si>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</si>
  <si>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</si>
  <si>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</si>
  <si>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</si>
  <si>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</si>
  <si>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</si>
  <si>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</si>
  <si>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</si>
  <si>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</si>
  <si>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</si>
  <si>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</si>
  <si>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</si>
  <si>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</si>
  <si>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</si>
  <si>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</si>
  <si>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</si>
  <si>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</si>
  <si>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</si>
  <si>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</si>
  <si>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</si>
  <si>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</si>
  <si>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</si>
  <si>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</si>
  <si>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</si>
  <si>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</si>
  <si>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</si>
  <si>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</si>
  <si>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</si>
  <si>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</si>
  <si>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</si>
  <si>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</si>
  <si>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</si>
  <si>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</si>
  <si>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</si>
  <si>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</si>
  <si>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</si>
  <si>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</si>
  <si>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</si>
  <si>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</si>
  <si>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</si>
  <si>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</si>
  <si>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</si>
  <si>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</si>
  <si>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</si>
  <si>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</si>
  <si>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</si>
  <si>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</si>
  <si>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</si>
  <si>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</si>
  <si>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</si>
  <si>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</si>
  <si>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</si>
  <si>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</si>
  <si>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</si>
  <si>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</si>
  <si>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</si>
  <si>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</si>
  <si>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</si>
  <si>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</si>
  <si>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</si>
  <si>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</si>
  <si>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</si>
  <si>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</si>
  <si>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</si>
  <si>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</si>
  <si>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</si>
  <si>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</si>
  <si>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</si>
  <si>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</si>
  <si>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</si>
  <si>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</si>
  <si>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</si>
  <si>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</si>
  <si>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</si>
  <si>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</si>
  <si>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</si>
  <si>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</si>
  <si>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</si>
  <si>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</si>
  <si>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</si>
  <si>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</si>
  <si>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</si>
  <si>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</si>
  <si>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</si>
  <si>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</si>
  <si>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</si>
  <si>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</si>
  <si>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</si>
  <si>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</si>
  <si>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</si>
  <si>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</si>
  <si>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</si>
  <si>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</si>
  <si>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</si>
  <si>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</si>
  <si>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</si>
  <si>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</si>
  <si>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</si>
  <si>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</si>
  <si>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</si>
  <si>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</si>
  <si>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</si>
  <si>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</si>
  <si>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</si>
  <si>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</si>
  <si>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</si>
  <si>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</si>
  <si>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</si>
  <si>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</si>
  <si>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</si>
  <si>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</si>
  <si>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</si>
  <si>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</si>
  <si>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</si>
  <si>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</si>
  <si>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</si>
  <si>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</si>
  <si>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</si>
  <si>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</si>
  <si>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</si>
  <si>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</si>
  <si>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</si>
  <si>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</si>
  <si>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</si>
  <si>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</si>
  <si>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</si>
  <si>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</si>
  <si>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</si>
  <si>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</si>
  <si>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</si>
  <si>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</si>
  <si>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</si>
  <si>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</si>
  <si>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</si>
  <si>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</si>
  <si>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</si>
  <si>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</si>
  <si>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</si>
  <si>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</si>
  <si>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</si>
  <si>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</si>
  <si>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</si>
  <si>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</si>
  <si>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</si>
  <si>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</si>
  <si>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</si>
  <si>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</si>
  <si>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</si>
  <si>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</si>
  <si>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</si>
  <si>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</si>
  <si>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</si>
  <si>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</si>
  <si>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</si>
  <si>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</si>
  <si>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</si>
  <si>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</si>
  <si>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</si>
  <si>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</si>
  <si>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</si>
  <si>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</si>
  <si>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</si>
  <si>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</si>
  <si>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</si>
  <si>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</si>
  <si>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</si>
  <si>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</si>
  <si>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</si>
  <si>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</si>
  <si>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</si>
  <si>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</si>
  <si>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</si>
  <si>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</si>
  <si>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</si>
  <si>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</si>
  <si>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</si>
  <si>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</si>
  <si>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</si>
  <si>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</si>
  <si>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</si>
  <si>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</si>
  <si>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</si>
  <si>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</si>
  <si>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</si>
  <si>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</si>
  <si>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</si>
  <si>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</si>
  <si>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</si>
  <si>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</si>
  <si>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</si>
  <si>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</si>
  <si>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</si>
  <si>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</si>
  <si>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</si>
  <si>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</si>
  <si>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</si>
  <si>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</si>
  <si>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</si>
  <si>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</si>
  <si>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</si>
  <si>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</si>
  <si>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</si>
  <si>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</si>
  <si>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</si>
  <si>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</si>
  <si>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</si>
  <si>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</si>
  <si>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</si>
  <si>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</si>
  <si>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</si>
  <si>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</si>
  <si>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</si>
  <si>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</si>
  <si>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</si>
  <si>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</si>
  <si>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</si>
  <si>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</si>
  <si>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</si>
  <si>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</si>
  <si>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</si>
  <si>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</si>
  <si>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</si>
  <si>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</si>
  <si>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</si>
  <si>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</si>
  <si>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</si>
  <si>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</si>
  <si>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</si>
  <si>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</si>
  <si>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</si>
  <si>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</si>
  <si>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</si>
  <si>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</si>
  <si>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</si>
  <si>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</si>
  <si>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</si>
  <si>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</si>
  <si>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</si>
  <si>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</si>
  <si>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</si>
  <si>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</si>
  <si>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</si>
  <si>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</si>
  <si>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</si>
  <si>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</si>
  <si>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</si>
  <si>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</si>
  <si>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</si>
  <si>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</si>
  <si>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</si>
  <si>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</si>
  <si>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</si>
  <si>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</si>
  <si>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</si>
  <si>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</si>
  <si>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</si>
  <si>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</si>
  <si>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</si>
  <si>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</si>
  <si>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</si>
  <si>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</si>
  <si>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</si>
  <si>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</si>
  <si>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</si>
  <si>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</si>
  <si>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</si>
  <si>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</si>
  <si>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</si>
  <si>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</si>
  <si>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</si>
  <si>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</si>
  <si>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</si>
  <si>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</si>
  <si>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</si>
  <si>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</si>
  <si>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</si>
  <si>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</si>
  <si>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</si>
  <si>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</si>
  <si>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</si>
  <si>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</si>
  <si>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</si>
  <si>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</si>
  <si>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</si>
  <si>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</si>
  <si>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</si>
  <si>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</si>
  <si>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</si>
  <si>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</si>
  <si>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</si>
  <si>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</si>
  <si>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</si>
  <si>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</si>
  <si>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</si>
  <si>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</si>
  <si>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</si>
  <si>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</si>
  <si>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</si>
  <si>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</si>
  <si>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</si>
  <si>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</si>
  <si>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</si>
  <si>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</si>
  <si>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</si>
  <si>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</si>
  <si>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</si>
  <si>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</si>
  <si>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</si>
  <si>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</si>
  <si>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</si>
  <si>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</si>
  <si>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</si>
  <si>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</si>
  <si>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</si>
  <si>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</si>
  <si>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</si>
  <si>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</si>
  <si>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</si>
  <si>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</si>
  <si>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</si>
  <si>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</si>
  <si>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</si>
  <si>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</si>
  <si>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</si>
  <si>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</si>
  <si>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</si>
  <si>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</si>
  <si>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</si>
  <si>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</si>
  <si>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</si>
  <si>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</si>
  <si>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</si>
  <si>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</si>
  <si>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</si>
  <si>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</si>
  <si>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</si>
  <si>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</si>
  <si>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</si>
  <si>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</si>
  <si>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</si>
  <si>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</si>
  <si>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</si>
  <si>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</si>
  <si>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</si>
  <si>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</si>
  <si>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</si>
  <si>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</si>
  <si>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</si>
  <si>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</si>
  <si>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</si>
  <si>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</si>
  <si>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</si>
  <si>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</si>
  <si>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</si>
  <si>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</si>
  <si>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</si>
  <si>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</si>
  <si>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</si>
  <si>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</si>
  <si>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</si>
  <si>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</si>
  <si>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</si>
  <si>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</si>
  <si>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</si>
  <si>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</si>
  <si>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</si>
  <si>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</si>
  <si>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</si>
  <si>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</si>
  <si>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</si>
  <si>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</si>
  <si>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</si>
  <si>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</si>
  <si>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</si>
  <si>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</si>
  <si>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</si>
  <si>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</si>
  <si>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</si>
  <si>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</si>
  <si>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</si>
  <si>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</si>
  <si>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</si>
  <si>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</si>
  <si>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</si>
  <si>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</si>
  <si>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</si>
  <si>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</si>
  <si>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</si>
  <si>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</si>
  <si>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</si>
  <si>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</si>
  <si>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</si>
  <si>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</si>
  <si>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</si>
  <si>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</si>
  <si>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</si>
  <si>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</si>
  <si>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</si>
  <si>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</si>
  <si>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</si>
  <si>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</si>
  <si>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</si>
  <si>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</si>
  <si>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</si>
  <si>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</si>
  <si>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</si>
  <si>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</si>
  <si>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</si>
  <si>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</si>
  <si>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</si>
  <si>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</si>
  <si>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</si>
  <si>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</si>
  <si>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</si>
  <si>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</si>
  <si>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</si>
  <si>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</si>
  <si>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</si>
  <si>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</si>
  <si>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</si>
  <si>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</si>
  <si>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</si>
  <si>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</si>
  <si>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</si>
  <si>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</si>
  <si>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</si>
  <si>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</si>
  <si>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</si>
  <si>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</si>
  <si>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</si>
  <si>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</si>
  <si>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</si>
  <si>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</si>
  <si>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</si>
  <si>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</si>
  <si>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</si>
  <si>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</si>
  <si>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</si>
  <si>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</si>
  <si>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</si>
  <si>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</si>
  <si>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</si>
  <si>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</si>
  <si>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</si>
  <si>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</si>
  <si>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</si>
  <si>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</si>
  <si>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</si>
  <si>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</si>
  <si>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</si>
  <si>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</si>
  <si>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</si>
  <si>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</si>
  <si>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</si>
  <si>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</si>
  <si>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</si>
  <si>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</si>
  <si>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</si>
  <si>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</si>
  <si>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</si>
  <si>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</si>
  <si>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</si>
  <si>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</si>
  <si>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</si>
  <si>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</si>
  <si>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</si>
  <si>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</si>
  <si>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</si>
  <si>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</si>
  <si>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</si>
  <si>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</si>
  <si>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</si>
  <si>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</si>
  <si>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</si>
  <si>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</si>
  <si>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</si>
  <si>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</si>
  <si>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</si>
  <si>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</si>
  <si>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</si>
  <si>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</si>
  <si>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</si>
  <si>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</si>
  <si>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</si>
  <si>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</si>
  <si>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</si>
  <si>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</si>
  <si>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</si>
  <si>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</si>
  <si>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</si>
  <si>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</si>
  <si>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</si>
  <si>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</si>
  <si>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</si>
  <si>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</si>
  <si>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</si>
  <si>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</si>
  <si>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</si>
  <si>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</si>
  <si>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</si>
  <si>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</si>
  <si>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</si>
  <si>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</si>
  <si>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</si>
  <si>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</si>
  <si>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</si>
  <si>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</si>
  <si>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</si>
  <si>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</si>
  <si>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</si>
  <si>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</si>
  <si>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</si>
  <si>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</si>
  <si>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</si>
  <si>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</si>
  <si>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</si>
  <si>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</si>
  <si>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</si>
  <si>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</si>
  <si>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</si>
  <si>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</si>
  <si>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</si>
  <si>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</si>
  <si>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</si>
  <si>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</si>
  <si>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</si>
  <si>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</si>
  <si>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</si>
  <si>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</si>
  <si>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</si>
  <si>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</si>
  <si>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</si>
  <si>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</si>
  <si>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</si>
  <si>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</si>
  <si>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</si>
  <si>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</si>
  <si>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</si>
  <si>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</si>
  <si>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</si>
  <si>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</si>
  <si>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</si>
  <si>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</si>
  <si>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</si>
  <si>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</si>
  <si>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</si>
  <si>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</si>
  <si>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</si>
  <si>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</si>
  <si>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</si>
  <si>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</si>
  <si>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</si>
  <si>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</si>
  <si>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</si>
  <si>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</si>
  <si>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</si>
  <si>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</si>
  <si>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</si>
  <si>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</si>
  <si>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</si>
  <si>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</si>
  <si>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</si>
  <si>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</si>
  <si>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</si>
  <si>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</si>
  <si>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</si>
  <si>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</si>
  <si>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</si>
  <si>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</si>
  <si>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</si>
  <si>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</si>
  <si>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</si>
  <si>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</si>
  <si>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</si>
  <si>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</si>
  <si>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</si>
  <si>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</si>
  <si>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</si>
  <si>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</si>
  <si>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</si>
  <si>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</si>
  <si>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</si>
  <si>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</si>
  <si>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</si>
  <si>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</si>
  <si>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</si>
  <si>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</si>
  <si>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</si>
  <si>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</si>
  <si>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</si>
  <si>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</si>
  <si>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</si>
  <si>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</si>
  <si>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</si>
  <si>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</si>
  <si>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</si>
  <si>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</si>
  <si>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</si>
  <si>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</si>
  <si>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</si>
  <si>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</si>
  <si>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</si>
  <si>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</si>
  <si>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</si>
  <si>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</si>
  <si>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</si>
  <si>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</si>
  <si>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</si>
  <si>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</si>
  <si>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</si>
  <si>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</si>
  <si>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</si>
  <si>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</si>
  <si>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</si>
  <si>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</si>
  <si>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</si>
  <si>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</si>
  <si>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</si>
  <si>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</si>
  <si>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</si>
  <si>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</si>
  <si>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</si>
  <si>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</si>
  <si>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</si>
  <si>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</si>
  <si>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</si>
  <si>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</si>
  <si>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</si>
  <si>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</si>
  <si>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</si>
  <si>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</si>
  <si>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</si>
  <si>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</si>
  <si>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</si>
  <si>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</si>
  <si>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</si>
  <si>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</si>
  <si>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</si>
  <si>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</si>
  <si>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</si>
  <si>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</si>
  <si>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</si>
  <si>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</si>
  <si>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</si>
  <si>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</si>
  <si>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</si>
  <si>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</si>
  <si>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</si>
  <si>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</si>
  <si>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</si>
  <si>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</si>
  <si>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</si>
  <si>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</si>
  <si>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</si>
  <si>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</si>
  <si>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</si>
  <si>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</si>
  <si>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</si>
  <si>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</si>
  <si>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</si>
  <si>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</si>
  <si>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</si>
  <si>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</si>
  <si>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</si>
  <si>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</si>
  <si>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</si>
  <si>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</si>
  <si>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</si>
  <si>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</si>
  <si>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</si>
  <si>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</si>
  <si>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</si>
  <si>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</si>
  <si>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</si>
  <si>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</si>
  <si>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</si>
  <si>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</si>
  <si>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</si>
  <si>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</si>
  <si>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</si>
  <si>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</si>
  <si>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</si>
  <si>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</si>
  <si>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</si>
  <si>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</si>
  <si>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</si>
  <si>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</si>
  <si>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</si>
  <si>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</si>
  <si>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</si>
  <si>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</si>
  <si>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</si>
  <si>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</si>
  <si>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</si>
  <si>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</si>
  <si>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</si>
  <si>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</si>
  <si>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</si>
  <si>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</si>
  <si>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</si>
  <si>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</si>
  <si>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</si>
  <si>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</si>
  <si>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</si>
  <si>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</si>
  <si>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</si>
  <si>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</si>
  <si>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</si>
  <si>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</si>
  <si>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</si>
  <si>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</si>
  <si>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</si>
  <si>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</si>
  <si>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</si>
  <si>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</si>
  <si>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</si>
  <si>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</si>
  <si>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</si>
  <si>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</si>
  <si>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</si>
  <si>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</si>
  <si>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</si>
  <si>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</si>
  <si>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</si>
  <si>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</si>
  <si>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</si>
  <si>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</si>
  <si>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</si>
  <si>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</si>
  <si>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</si>
  <si>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</si>
  <si>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</si>
  <si>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</si>
  <si>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</si>
  <si>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</si>
  <si>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</si>
  <si>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</si>
  <si>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</si>
  <si>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</si>
  <si>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</si>
  <si>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</si>
  <si>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</si>
  <si>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</si>
  <si>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</si>
  <si>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</si>
  <si>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</si>
  <si>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</si>
  <si>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</si>
  <si>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</si>
  <si>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</si>
  <si>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</si>
  <si>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</si>
  <si>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</si>
  <si>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</si>
  <si>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</si>
  <si>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</si>
  <si>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</si>
  <si>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</si>
  <si>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</si>
  <si>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</si>
  <si>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</si>
  <si>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</si>
  <si>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</si>
  <si>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</si>
  <si>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</si>
  <si>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</si>
  <si>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</si>
  <si>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</si>
  <si>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</si>
  <si>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</si>
  <si>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</si>
  <si>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</si>
  <si>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</si>
  <si>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</si>
  <si>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</si>
  <si>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</si>
  <si>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</si>
  <si>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</si>
  <si>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</si>
  <si>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</si>
  <si>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</si>
  <si>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</si>
  <si>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</si>
  <si>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</si>
  <si>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</si>
  <si>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</si>
  <si>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</si>
  <si>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</si>
  <si>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</si>
  <si>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</si>
  <si>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</si>
  <si>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</si>
  <si>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</si>
  <si>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</si>
  <si>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</si>
  <si>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</si>
  <si>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</si>
  <si>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</si>
  <si>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</si>
  <si>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</si>
  <si>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</si>
  <si>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</si>
  <si>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</si>
  <si>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</si>
  <si>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</si>
  <si>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</si>
  <si>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</si>
  <si>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</si>
  <si>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</si>
  <si>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</si>
  <si>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</si>
  <si>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</si>
  <si>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</si>
  <si>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</si>
  <si>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</si>
  <si>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</si>
  <si>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</si>
  <si>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</si>
  <si>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</si>
  <si>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</si>
  <si>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</si>
  <si>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</si>
  <si>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</si>
  <si>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</si>
  <si>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</si>
  <si>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</si>
  <si>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</si>
  <si>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</si>
  <si>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</si>
  <si>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</si>
  <si>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</si>
  <si>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</si>
  <si>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</si>
  <si>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</si>
  <si>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</si>
  <si>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</si>
  <si>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</si>
  <si>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</si>
  <si>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</si>
  <si>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</si>
  <si>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</si>
  <si>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</si>
  <si>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</si>
  <si>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</si>
  <si>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</si>
  <si>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</si>
  <si>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</si>
  <si>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</si>
  <si>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</si>
  <si>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</si>
  <si>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</si>
  <si>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</si>
  <si>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</si>
  <si>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</si>
  <si>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</si>
  <si>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</si>
  <si>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</si>
  <si>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</si>
  <si>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</si>
  <si>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</si>
  <si>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</si>
  <si>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</si>
  <si>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</si>
  <si>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</si>
  <si>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</si>
  <si>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</si>
  <si>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</si>
  <si>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</si>
  <si>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</si>
  <si>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</si>
  <si>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</si>
  <si>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</si>
  <si>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</si>
  <si>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</si>
  <si>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</si>
  <si>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</si>
  <si>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</si>
  <si>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</si>
  <si>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</si>
  <si>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</si>
  <si>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</si>
  <si>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</si>
  <si>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</si>
  <si>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</si>
  <si>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</si>
  <si>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</si>
  <si>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</si>
  <si>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</si>
  <si>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</si>
  <si>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</si>
  <si>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</si>
  <si>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</si>
  <si>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</si>
  <si>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</si>
  <si>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</si>
  <si>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</si>
  <si>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</si>
  <si>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</si>
  <si>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</si>
  <si>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</si>
  <si>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</si>
  <si>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</si>
  <si>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</si>
  <si>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</si>
  <si>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</si>
  <si>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</si>
  <si>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</si>
  <si>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</si>
  <si>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</si>
  <si>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</si>
  <si>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</si>
  <si>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</si>
  <si>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</si>
  <si>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</si>
  <si>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</si>
  <si>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</si>
  <si>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</si>
  <si>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</si>
  <si>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</si>
  <si>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</si>
  <si>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</si>
  <si>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</si>
  <si>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</si>
  <si>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</si>
  <si>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</si>
  <si>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</si>
  <si>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</si>
  <si>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</si>
  <si>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</si>
  <si>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</si>
  <si>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</si>
  <si>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</si>
  <si>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</si>
  <si>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</si>
  <si>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</si>
  <si>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</si>
  <si>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</si>
  <si>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</si>
  <si>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</si>
  <si>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</si>
  <si>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</si>
  <si>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</si>
  <si>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</si>
  <si>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</si>
  <si>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</si>
  <si>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</si>
  <si>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</si>
  <si>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</si>
  <si>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</si>
  <si>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</si>
  <si>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</si>
  <si>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</si>
  <si>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</si>
  <si>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</si>
  <si>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</si>
  <si>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</si>
  <si>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</si>
  <si>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</si>
  <si>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</si>
  <si>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</si>
  <si>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</si>
  <si>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</si>
  <si>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</si>
  <si>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</si>
  <si>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</si>
  <si>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</si>
  <si>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</si>
  <si>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</si>
  <si>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</si>
  <si>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</si>
  <si>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</si>
  <si>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</si>
  <si>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</si>
  <si>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</si>
  <si>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</si>
  <si>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</si>
  <si>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</si>
  <si>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</si>
  <si>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</si>
  <si>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</si>
  <si>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</si>
  <si>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</si>
  <si>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</si>
  <si>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</si>
  <si>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</si>
  <si>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</si>
  <si>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</si>
  <si>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</si>
  <si>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</si>
  <si>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</si>
  <si>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</si>
  <si>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</si>
  <si>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</si>
  <si>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</si>
  <si>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</si>
  <si>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</si>
  <si>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</si>
  <si>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</si>
  <si>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</si>
  <si>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</si>
  <si>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</si>
  <si>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</si>
  <si>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</si>
  <si>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</si>
  <si>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</si>
  <si>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</si>
  <si>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</si>
  <si>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</si>
  <si>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</si>
  <si>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</si>
  <si>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</si>
  <si>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</si>
  <si>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</si>
  <si>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</si>
  <si>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</si>
  <si>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</si>
  <si>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</si>
  <si>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</si>
  <si>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</si>
  <si>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</si>
  <si>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</si>
  <si>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</si>
  <si>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</si>
  <si>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</si>
  <si>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</si>
  <si>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</si>
  <si>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</si>
  <si>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</si>
  <si>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</si>
  <si>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</si>
  <si>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</si>
  <si>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</si>
  <si>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</si>
  <si>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</si>
  <si>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</si>
  <si>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</si>
  <si>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</si>
  <si>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</si>
  <si>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</si>
  <si>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</si>
  <si>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</si>
  <si>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</si>
  <si>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</si>
  <si>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</si>
  <si>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</si>
  <si>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</si>
  <si>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</si>
  <si>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</si>
  <si>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</si>
  <si>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</si>
  <si>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</si>
  <si>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</si>
  <si>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</si>
  <si>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</si>
  <si>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</si>
  <si>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</si>
  <si>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</si>
  <si>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</si>
  <si>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</si>
  <si>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</si>
  <si>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</si>
  <si>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</si>
  <si>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</si>
  <si>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</si>
  <si>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</si>
  <si>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</si>
  <si>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</si>
  <si>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</si>
  <si>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</si>
  <si>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</si>
  <si>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</si>
  <si>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</si>
  <si>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</si>
  <si>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</si>
  <si>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</si>
  <si>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</si>
  <si>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</si>
  <si>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</si>
  <si>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</si>
  <si>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</si>
  <si>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</si>
  <si>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</si>
  <si>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</si>
  <si>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</si>
  <si>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</si>
  <si>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</si>
  <si>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</si>
  <si>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</si>
  <si>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</si>
  <si>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</si>
  <si>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</si>
  <si>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</si>
  <si>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</si>
  <si>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</si>
  <si>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</si>
  <si>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</si>
  <si>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</si>
  <si>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</si>
  <si>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</si>
  <si>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</si>
  <si>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</si>
  <si>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</si>
  <si>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</si>
  <si>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</si>
  <si>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</si>
  <si>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</si>
  <si>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</si>
  <si>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</si>
  <si>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</si>
  <si>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</si>
  <si>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</si>
  <si>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</si>
  <si>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</si>
  <si>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</si>
  <si>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</si>
  <si>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</si>
  <si>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</si>
  <si>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</si>
  <si>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</si>
  <si>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</si>
  <si>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</si>
  <si>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</si>
  <si>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</si>
  <si>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</si>
  <si>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</si>
  <si>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</si>
  <si>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</si>
  <si>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</si>
  <si>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</si>
  <si>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</si>
  <si>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</si>
  <si>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</si>
  <si>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</si>
  <si>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</si>
  <si>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</si>
  <si>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</si>
  <si>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</si>
  <si>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</si>
  <si>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</si>
  <si>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</si>
  <si>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</si>
  <si>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</si>
  <si>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</si>
  <si>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</si>
  <si>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</si>
  <si>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</si>
  <si>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</si>
  <si>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</si>
  <si>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</si>
  <si>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</si>
  <si>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</si>
  <si>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</si>
  <si>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</si>
  <si>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</si>
  <si>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</si>
  <si>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</si>
  <si>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</si>
  <si>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</si>
  <si>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</si>
  <si>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</si>
  <si>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</si>
  <si>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</si>
  <si>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</si>
  <si>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</si>
  <si>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</si>
  <si>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</si>
  <si>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</si>
  <si>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</si>
  <si>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</si>
  <si>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</si>
  <si>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</si>
  <si>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</si>
  <si>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</si>
  <si>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</si>
  <si>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</si>
  <si>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</si>
  <si>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</si>
  <si>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</si>
  <si>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</si>
  <si>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</si>
  <si>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</si>
  <si>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</si>
  <si>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</si>
  <si>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</si>
  <si>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</si>
  <si>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</si>
  <si>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</si>
  <si>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</si>
  <si>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</si>
  <si>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</si>
  <si>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</si>
  <si>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</si>
  <si>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</si>
  <si>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</si>
  <si>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</si>
  <si>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</si>
  <si>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</si>
  <si>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</si>
  <si>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</si>
  <si>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</si>
  <si>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</si>
  <si>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</si>
  <si>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</si>
  <si>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</si>
  <si>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</si>
  <si>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</si>
  <si>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</si>
  <si>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</si>
  <si>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</si>
  <si>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</si>
  <si>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</si>
  <si>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</si>
  <si>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</si>
  <si>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</si>
  <si>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</si>
  <si>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</si>
  <si>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</si>
  <si>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</si>
  <si>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</si>
  <si>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</si>
  <si>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</si>
  <si>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</si>
  <si>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</si>
  <si>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</si>
  <si>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</si>
  <si>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</si>
  <si>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</si>
  <si>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</si>
  <si>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</si>
  <si>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</si>
  <si>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</si>
  <si>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</si>
  <si>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</si>
  <si>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</si>
  <si>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</si>
  <si>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</si>
  <si>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</si>
  <si>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</si>
  <si>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</si>
  <si>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</si>
  <si>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</si>
  <si>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</si>
  <si>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</si>
  <si>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</si>
  <si>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</si>
  <si>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</si>
  <si>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</si>
  <si>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</si>
  <si>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</si>
  <si>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</si>
  <si>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</si>
  <si>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</si>
  <si>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</si>
  <si>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</si>
  <si>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</si>
  <si>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</si>
  <si>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</si>
  <si>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</si>
  <si>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</si>
  <si>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</si>
  <si>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</si>
  <si>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</si>
  <si>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</si>
  <si>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</si>
  <si>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</si>
  <si>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</si>
  <si>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</si>
  <si>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</si>
  <si>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</si>
  <si>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</si>
  <si>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</si>
  <si>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</si>
  <si>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</si>
  <si>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</si>
  <si>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</si>
  <si>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</si>
  <si>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</si>
  <si>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</si>
  <si>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</si>
  <si>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</si>
  <si>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</si>
  <si>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</si>
  <si>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</si>
  <si>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</si>
  <si>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</si>
  <si>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</si>
  <si>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</si>
  <si>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</si>
  <si>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</si>
  <si>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</si>
  <si>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</si>
  <si>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</si>
  <si>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</si>
  <si>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</si>
  <si>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</si>
  <si>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</si>
  <si>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</si>
  <si>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</si>
  <si>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</si>
  <si>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</si>
  <si>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</si>
  <si>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</si>
  <si>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</si>
  <si>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</si>
  <si>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</si>
  <si>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</si>
  <si>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</si>
  <si>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</si>
  <si>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</si>
  <si>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</si>
  <si>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</si>
  <si>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</si>
  <si>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</si>
  <si>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</si>
  <si>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</si>
  <si>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</si>
  <si>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</si>
  <si>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</si>
  <si>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</si>
  <si>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</si>
  <si>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</si>
  <si>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</si>
  <si>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</si>
  <si>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</si>
  <si>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</si>
  <si>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</si>
  <si>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</si>
  <si>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</si>
  <si>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</si>
  <si>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</si>
  <si>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</si>
  <si>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</si>
  <si>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</si>
  <si>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</si>
  <si>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</si>
  <si>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</si>
  <si>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</si>
  <si>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</si>
  <si>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</si>
  <si>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</si>
  <si>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</si>
  <si>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</si>
  <si>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</si>
  <si>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</si>
  <si>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</si>
  <si>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</si>
  <si>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</si>
  <si>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</si>
  <si>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</si>
  <si>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</si>
  <si>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</si>
  <si>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</si>
  <si>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</si>
  <si>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</si>
  <si>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</si>
  <si>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</si>
  <si>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</si>
  <si>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</si>
  <si>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</si>
  <si>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</si>
  <si>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</si>
  <si>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</si>
  <si>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</si>
  <si>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</si>
  <si>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</si>
  <si>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</si>
  <si>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</si>
  <si>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</si>
  <si>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</si>
  <si>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</si>
  <si>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</si>
  <si>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</si>
  <si>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</si>
  <si>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</si>
  <si>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</si>
  <si>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</si>
  <si>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</si>
  <si>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</si>
  <si>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</si>
  <si>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</si>
  <si>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</si>
  <si>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</si>
  <si>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</si>
  <si>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</si>
  <si>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</si>
  <si>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</si>
  <si>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</si>
  <si>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</si>
  <si>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</si>
  <si>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</si>
  <si>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</si>
  <si>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</si>
  <si>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</si>
  <si>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</si>
  <si>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</si>
  <si>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</si>
  <si>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</si>
  <si>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</si>
  <si>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</si>
  <si>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</si>
  <si>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</si>
  <si>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</si>
  <si>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</si>
  <si>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</si>
  <si>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</si>
  <si>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</si>
  <si>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</si>
  <si>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</si>
  <si>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</si>
  <si>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</si>
  <si>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</si>
  <si>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</si>
  <si>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</si>
  <si>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</si>
  <si>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</si>
  <si>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</si>
  <si>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</si>
  <si>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</si>
  <si>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</si>
  <si>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</si>
  <si>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</si>
  <si>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</si>
  <si>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</si>
  <si>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</si>
  <si>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</si>
  <si>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</si>
  <si>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</si>
  <si>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</si>
  <si>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</si>
  <si>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</si>
  <si>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</si>
  <si>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</si>
  <si>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</si>
  <si>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</si>
  <si>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</si>
  <si>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</si>
  <si>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</si>
  <si>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</si>
  <si>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</si>
  <si>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</si>
  <si>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</si>
  <si>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</si>
  <si>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</si>
  <si>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</si>
  <si>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</si>
  <si>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</si>
  <si>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</si>
  <si>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</si>
  <si>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</si>
  <si>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</si>
  <si>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</si>
  <si>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</si>
  <si>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</si>
  <si>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</si>
  <si>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</si>
  <si>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</si>
  <si>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</si>
  <si>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</si>
  <si>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</si>
  <si>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</si>
  <si>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</si>
  <si>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</si>
  <si>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</si>
  <si>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</si>
  <si>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</si>
  <si>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</si>
  <si>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</si>
  <si>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</si>
  <si>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</si>
  <si>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</si>
  <si>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</si>
  <si>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</si>
  <si>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</si>
  <si>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</si>
  <si>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</si>
  <si>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</si>
  <si>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</si>
  <si>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</si>
  <si>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</si>
  <si>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</si>
  <si>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</si>
  <si>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</si>
  <si>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</si>
  <si>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</si>
  <si>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</si>
  <si>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</si>
  <si>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</si>
  <si>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</si>
  <si>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</si>
  <si>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</si>
  <si>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</si>
  <si>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</si>
  <si>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</si>
  <si>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</si>
  <si>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</si>
  <si>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</si>
  <si>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</si>
  <si>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</si>
  <si>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</si>
  <si>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</si>
  <si>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</si>
  <si>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</si>
  <si>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</si>
  <si>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</si>
  <si>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</si>
  <si>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</si>
  <si>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</si>
  <si>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</si>
  <si>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</si>
  <si>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</si>
  <si>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</si>
  <si>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</si>
  <si>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</si>
  <si>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</si>
  <si>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</si>
  <si>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</si>
  <si>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</si>
  <si>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</si>
  <si>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</si>
  <si>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</si>
  <si>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</si>
  <si>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</si>
  <si>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</si>
  <si>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</si>
  <si>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</si>
  <si>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</si>
  <si>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</si>
  <si>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</si>
  <si>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</si>
  <si>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</si>
  <si>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</si>
  <si>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</si>
  <si>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</si>
  <si>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</si>
  <si>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</si>
  <si>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</si>
  <si>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</si>
  <si>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</si>
  <si>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</si>
  <si>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</si>
  <si>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</si>
  <si>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</si>
  <si>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</si>
  <si>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</si>
  <si>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</si>
  <si>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</si>
  <si>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</si>
  <si>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</si>
  <si>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</si>
  <si>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</si>
  <si>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</si>
  <si>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</si>
  <si>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</si>
  <si>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</si>
  <si>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</si>
  <si>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</si>
  <si>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</si>
  <si>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</si>
  <si>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</si>
  <si>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</si>
  <si>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</si>
  <si>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</si>
  <si>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</si>
  <si>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</si>
  <si>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</si>
  <si>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</si>
  <si>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</si>
  <si>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</si>
  <si>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</si>
  <si>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</si>
  <si>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</si>
  <si>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</si>
  <si>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</si>
  <si>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</si>
  <si>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</si>
  <si>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</si>
  <si>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</si>
  <si>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</si>
  <si>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</si>
  <si>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</si>
  <si>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</si>
  <si>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</si>
  <si>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</si>
  <si>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</si>
  <si>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</si>
  <si>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</si>
  <si>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</si>
  <si>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</si>
  <si>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</si>
  <si>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</si>
  <si>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</si>
  <si>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</si>
  <si>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</si>
  <si>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</si>
  <si>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</si>
  <si>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</si>
  <si>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</si>
  <si>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</si>
  <si>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</si>
  <si>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</si>
  <si>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</si>
  <si>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</si>
  <si>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</si>
  <si>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</si>
  <si>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</si>
  <si>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</si>
  <si>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</si>
  <si>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</si>
  <si>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</si>
  <si>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</si>
  <si>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</si>
  <si>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</si>
  <si>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</si>
  <si>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</si>
  <si>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</si>
  <si>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</si>
  <si>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</si>
  <si>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</si>
  <si>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</si>
  <si>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</si>
  <si>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</si>
  <si>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</si>
  <si>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</si>
  <si>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</si>
  <si>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</si>
  <si>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</si>
  <si>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</si>
  <si>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</si>
  <si>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</si>
  <si>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</si>
  <si>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</si>
  <si>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</si>
  <si>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</si>
  <si>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</si>
  <si>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</si>
  <si>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</si>
  <si>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</si>
  <si>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</si>
  <si>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</si>
  <si>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</si>
  <si>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</si>
  <si>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</si>
  <si>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</si>
  <si>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</si>
  <si>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</si>
  <si>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</si>
  <si>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</si>
  <si>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</si>
  <si>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</si>
  <si>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</si>
  <si>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</si>
  <si>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</si>
  <si>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</si>
  <si>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</si>
  <si>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</si>
  <si>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</si>
  <si>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</si>
  <si>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</si>
  <si>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</si>
  <si>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</si>
  <si>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</si>
  <si>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</si>
  <si>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</si>
  <si>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</si>
  <si>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</si>
  <si>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</si>
  <si>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</si>
  <si>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</si>
  <si>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</si>
  <si>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</si>
  <si>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</si>
  <si>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</si>
  <si>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</si>
  <si>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</si>
  <si>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</si>
  <si>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</si>
  <si>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</si>
  <si>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</si>
  <si>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</si>
  <si>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</si>
  <si>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</si>
  <si>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</si>
  <si>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</si>
  <si>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</si>
  <si>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</si>
  <si>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</si>
  <si>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</si>
  <si>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</si>
  <si>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</si>
  <si>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</si>
  <si>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</si>
  <si>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</si>
  <si>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</si>
  <si>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</si>
  <si>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</si>
  <si>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</si>
  <si>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</si>
  <si>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</si>
  <si>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</si>
  <si>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</si>
  <si>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</si>
  <si>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</si>
  <si>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</si>
  <si>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</si>
  <si>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</si>
  <si>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</si>
  <si>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</si>
  <si>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</si>
  <si>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</si>
  <si>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</si>
  <si>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</si>
  <si>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</si>
  <si>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</si>
  <si>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</si>
  <si>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</si>
  <si>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</si>
  <si>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</si>
  <si>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</si>
  <si>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</si>
  <si>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</si>
  <si>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</si>
  <si>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</si>
  <si>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</si>
  <si>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</si>
  <si>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</si>
  <si>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</si>
  <si>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</si>
  <si>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</si>
  <si>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</si>
  <si>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</si>
  <si>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</si>
  <si>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</si>
  <si>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</si>
  <si>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</si>
  <si>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</si>
  <si>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</si>
  <si>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</si>
  <si>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</si>
  <si>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</si>
  <si>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</si>
  <si>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</si>
  <si>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</si>
  <si>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</si>
  <si>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</si>
  <si>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</si>
  <si>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</si>
  <si>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</si>
  <si>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</si>
  <si>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</si>
  <si>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</si>
  <si>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</si>
  <si>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</si>
  <si>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</si>
  <si>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</si>
  <si>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</si>
  <si>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</si>
  <si>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</si>
  <si>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</si>
  <si>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</si>
  <si>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</si>
  <si>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</si>
  <si>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</si>
  <si>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</si>
  <si>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</si>
  <si>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</si>
  <si>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</si>
  <si>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</si>
  <si>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</si>
  <si>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</si>
  <si>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</si>
  <si>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</si>
  <si>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</si>
  <si>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</si>
  <si>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</si>
  <si>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</si>
  <si>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</si>
  <si>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</si>
  <si>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</si>
  <si>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</si>
  <si>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</si>
  <si>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</si>
  <si>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</si>
  <si>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</si>
  <si>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</si>
  <si>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</si>
  <si>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</si>
  <si>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</si>
  <si>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</si>
  <si>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</si>
  <si>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</si>
  <si>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</si>
  <si>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</si>
  <si>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</si>
  <si>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</si>
  <si>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</si>
  <si>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</si>
  <si>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</si>
  <si>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</si>
  <si>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</si>
  <si>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</si>
  <si>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</si>
  <si>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</si>
  <si>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</si>
  <si>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</si>
  <si>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</si>
  <si>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</si>
  <si>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</si>
  <si>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</si>
  <si>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</si>
  <si>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</si>
  <si>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</si>
  <si>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</si>
  <si>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</si>
  <si>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</si>
  <si>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</si>
  <si>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</si>
  <si>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</si>
  <si>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</si>
  <si>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</si>
  <si>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</si>
  <si>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</si>
  <si>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</si>
  <si>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</si>
  <si>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</si>
  <si>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</si>
  <si>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</si>
  <si>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</si>
  <si>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</si>
  <si>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</si>
  <si>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</si>
  <si>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</si>
  <si>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</si>
  <si>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</si>
  <si>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</si>
  <si>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</si>
  <si>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</si>
  <si>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</si>
  <si>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</si>
  <si>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</si>
  <si>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</si>
  <si>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</si>
  <si>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</si>
  <si>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</si>
  <si>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</si>
  <si>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</si>
  <si>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</si>
  <si>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</si>
  <si>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</si>
  <si>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</si>
  <si>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</si>
  <si>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</si>
  <si>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</si>
  <si>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</si>
  <si>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</si>
  <si>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</si>
  <si>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</si>
  <si>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</si>
  <si>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</si>
  <si>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</si>
  <si>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</si>
  <si>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</si>
  <si>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</si>
  <si>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</si>
  <si>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</si>
  <si>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</si>
  <si>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</si>
  <si>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</si>
  <si>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</si>
  <si>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</si>
  <si>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</si>
  <si>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</si>
  <si>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</si>
  <si>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</si>
  <si>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</si>
  <si>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</si>
  <si>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</si>
  <si>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</si>
  <si>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</si>
  <si>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</si>
  <si>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</si>
  <si>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</si>
  <si>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</si>
  <si>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</si>
  <si>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</si>
  <si>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</si>
  <si>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</si>
  <si>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</si>
  <si>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</si>
  <si>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</si>
  <si>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</si>
  <si>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</si>
  <si>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</si>
  <si>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</si>
  <si>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</si>
  <si>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</si>
  <si>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</si>
  <si>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</si>
  <si>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</si>
  <si>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</si>
  <si>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</si>
  <si>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</si>
  <si>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</si>
  <si>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</si>
  <si>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</si>
  <si>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</si>
  <si>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</si>
  <si>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</si>
  <si>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</si>
  <si>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</si>
  <si>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</si>
  <si>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</si>
  <si>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</si>
  <si>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</si>
  <si>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</si>
  <si>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</si>
  <si>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</si>
  <si>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</si>
  <si>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</si>
  <si>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</si>
  <si>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</si>
  <si>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</si>
  <si>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</si>
  <si>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</si>
  <si>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</si>
  <si>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</si>
  <si>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</si>
  <si>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</si>
  <si>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</si>
  <si>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</si>
  <si>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</si>
  <si>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</si>
  <si>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</si>
  <si>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</si>
  <si>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</si>
  <si>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</si>
  <si>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</si>
  <si>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</si>
  <si>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</si>
  <si>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</si>
  <si>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</si>
  <si>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</si>
  <si>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</si>
  <si>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</si>
  <si>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</si>
  <si>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</si>
  <si>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</si>
  <si>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</si>
  <si>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</si>
  <si>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</si>
  <si>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</si>
  <si>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</si>
  <si>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</si>
  <si>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</si>
  <si>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</si>
  <si>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</si>
  <si>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</si>
  <si>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</si>
  <si>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</si>
  <si>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</si>
  <si>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</si>
  <si>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</si>
  <si>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</si>
  <si>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</si>
  <si>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</si>
  <si>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</si>
  <si>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</si>
  <si>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</si>
  <si>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</si>
  <si>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</si>
  <si>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</si>
  <si>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</si>
  <si>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</si>
  <si>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</si>
  <si>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</si>
  <si>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</si>
  <si>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</si>
  <si>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</si>
  <si>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</si>
  <si>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</si>
  <si>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</si>
  <si>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</si>
  <si>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</si>
  <si>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</si>
  <si>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</si>
  <si>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</si>
  <si>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</si>
  <si>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</si>
  <si>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</si>
  <si>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</si>
  <si>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</si>
  <si>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</si>
  <si>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</si>
  <si>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</si>
  <si>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</si>
  <si>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</si>
  <si>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</si>
  <si>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</si>
  <si>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</si>
  <si>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</si>
  <si>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</si>
  <si>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</si>
  <si>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</si>
  <si>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</si>
  <si>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</si>
  <si>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</si>
  <si>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</si>
  <si>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</si>
  <si>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</si>
  <si>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</si>
  <si>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</si>
  <si>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</si>
  <si>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</si>
  <si>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</si>
  <si>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</si>
  <si>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</si>
  <si>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</si>
  <si>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</si>
  <si>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</si>
  <si>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</si>
  <si>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</si>
  <si>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</si>
  <si>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</si>
  <si>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</si>
  <si>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</si>
  <si>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</si>
  <si>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</si>
  <si>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</si>
  <si>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</si>
  <si>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</si>
  <si>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</si>
  <si>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</si>
  <si>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</si>
  <si>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</si>
  <si>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</si>
  <si>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</si>
  <si>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</si>
  <si>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</si>
  <si>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</si>
  <si>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</si>
  <si>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</si>
  <si>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</si>
  <si>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</si>
  <si>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</si>
  <si>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</si>
  <si>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</si>
  <si>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</si>
  <si>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</si>
  <si>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</si>
  <si>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</si>
  <si>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</si>
  <si>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</si>
  <si>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</si>
  <si>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</si>
  <si>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</si>
  <si>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</si>
  <si>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</si>
  <si>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</si>
  <si>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</si>
  <si>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</si>
  <si>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</si>
  <si>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</si>
  <si>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</si>
  <si>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</si>
  <si>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</si>
  <si>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</si>
  <si>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</si>
  <si>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</si>
  <si>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</si>
  <si>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</si>
  <si>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</si>
  <si>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</si>
  <si>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</si>
  <si>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</si>
  <si>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</si>
  <si>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</si>
  <si>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</si>
  <si>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</si>
  <si>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</si>
  <si>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</si>
  <si>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</si>
  <si>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</si>
  <si>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</si>
  <si>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</si>
  <si>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</si>
  <si>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</si>
  <si>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</si>
  <si>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</si>
  <si>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</si>
  <si>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</si>
  <si>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</si>
  <si>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</si>
  <si>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</si>
  <si>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</si>
  <si>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</si>
  <si>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</si>
  <si>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</si>
  <si>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</si>
  <si>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</si>
  <si>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</si>
  <si>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</si>
  <si>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</si>
  <si>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</si>
  <si>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</si>
  <si>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</si>
  <si>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</si>
  <si>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</si>
  <si>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</si>
  <si>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</si>
  <si>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</si>
  <si>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</si>
  <si>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</si>
  <si>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</si>
  <si>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</si>
  <si>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</si>
  <si>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</si>
  <si>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</si>
  <si>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</si>
  <si>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</si>
  <si>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</si>
  <si>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</si>
  <si>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</si>
  <si>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</si>
  <si>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</si>
  <si>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</si>
  <si>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</si>
  <si>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</si>
  <si>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</si>
  <si>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</si>
  <si>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</si>
  <si>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</si>
  <si>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</si>
  <si>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</si>
  <si>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</si>
  <si>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</si>
  <si>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</si>
  <si>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</si>
  <si>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</si>
  <si>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</si>
  <si>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</si>
  <si>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</si>
  <si>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</si>
  <si>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</si>
  <si>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</si>
  <si>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</si>
  <si>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</si>
  <si>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</si>
  <si>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</si>
  <si>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</si>
  <si>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</si>
  <si>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</si>
  <si>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</si>
  <si>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</si>
  <si>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</si>
  <si>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</si>
  <si>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</si>
  <si>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</si>
  <si>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</si>
  <si>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</si>
  <si>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</si>
  <si>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</si>
  <si>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</si>
  <si>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</si>
  <si>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</si>
  <si>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</si>
  <si>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</si>
  <si>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</si>
  <si>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</si>
  <si>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</si>
  <si>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</si>
  <si>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</si>
  <si>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</si>
  <si>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</si>
  <si>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</si>
  <si>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</si>
  <si>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</si>
  <si>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</si>
  <si>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</si>
  <si>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</si>
  <si>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</si>
  <si>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</si>
  <si>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</si>
  <si>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</si>
  <si>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</si>
  <si>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</si>
  <si>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</si>
  <si>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</si>
  <si>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</si>
  <si>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</si>
  <si>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</si>
  <si>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</si>
  <si>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</si>
  <si>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</si>
  <si>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</si>
  <si>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</si>
  <si>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</si>
  <si>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</si>
  <si>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</si>
  <si>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</si>
  <si>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</si>
  <si>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</si>
  <si>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</si>
  <si>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</si>
  <si>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</si>
  <si>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</si>
  <si>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</si>
  <si>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</si>
  <si>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</si>
  <si>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</si>
  <si>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</si>
  <si>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</si>
  <si>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</si>
  <si>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</si>
  <si>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</si>
  <si>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</si>
  <si>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</si>
  <si>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</si>
  <si>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</si>
  <si>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</si>
  <si>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</si>
  <si>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</si>
  <si>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</si>
  <si>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</si>
  <si>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</si>
  <si>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</si>
  <si>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</si>
  <si>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</si>
  <si>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</si>
  <si>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</si>
  <si>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</si>
  <si>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</si>
  <si>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</si>
  <si>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</si>
  <si>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</si>
  <si>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</si>
  <si>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</si>
  <si>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</si>
  <si>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</si>
  <si>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</si>
  <si>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</si>
  <si>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</si>
  <si>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</si>
  <si>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</si>
  <si>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</si>
  <si>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</si>
  <si>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</si>
  <si>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</si>
  <si>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</si>
  <si>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</si>
  <si>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</si>
  <si>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</si>
  <si>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</si>
  <si>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</si>
  <si>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</si>
  <si>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</si>
  <si>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</si>
  <si>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</si>
  <si>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</si>
  <si>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</si>
  <si>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</si>
  <si>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</si>
  <si>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</si>
  <si>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</si>
  <si>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</si>
  <si>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</si>
  <si>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</si>
  <si>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</si>
  <si>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</si>
  <si>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</si>
  <si>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</si>
  <si>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</si>
  <si>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</si>
  <si>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</si>
  <si>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</si>
  <si>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</si>
  <si>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</si>
  <si>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</si>
  <si>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</si>
  <si>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</si>
  <si>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</si>
  <si>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</si>
  <si>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</si>
  <si>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</si>
  <si>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</si>
  <si>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</si>
  <si>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</si>
  <si>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</si>
  <si>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</si>
  <si>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</si>
  <si>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</si>
  <si>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</si>
  <si>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</si>
  <si>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</si>
  <si>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</si>
  <si>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</si>
  <si>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</si>
  <si>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</si>
  <si>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</si>
  <si>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</si>
  <si>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</si>
  <si>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</si>
  <si>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</si>
  <si>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</si>
  <si>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</si>
  <si>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</si>
  <si>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</si>
  <si>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</si>
  <si>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</si>
  <si>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</si>
  <si>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</si>
  <si>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</si>
  <si>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</si>
  <si>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</si>
  <si>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</si>
  <si>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</si>
  <si>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</si>
  <si>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</si>
  <si>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</si>
  <si>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</si>
  <si>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</si>
  <si>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</si>
  <si>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</si>
  <si>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</si>
  <si>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</si>
  <si>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</si>
  <si>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</si>
  <si>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</si>
  <si>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</si>
  <si>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</si>
  <si>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</si>
  <si>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</si>
  <si>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</si>
  <si>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</si>
  <si>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</si>
  <si>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</si>
  <si>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</si>
  <si>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</si>
  <si>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</si>
  <si>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</si>
  <si>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</si>
  <si>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</si>
  <si>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</si>
  <si>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</si>
  <si>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</si>
  <si>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</si>
  <si>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</si>
  <si>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</si>
  <si>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</si>
  <si>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</si>
  <si>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</si>
  <si>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</si>
  <si>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</si>
  <si>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</si>
  <si>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</si>
  <si>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</si>
  <si>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</si>
  <si>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</si>
  <si>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</si>
  <si>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</si>
  <si>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</si>
  <si>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</si>
  <si>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</si>
  <si>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</si>
  <si>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</si>
  <si>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</si>
  <si>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</si>
  <si>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</si>
  <si>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</si>
  <si>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</si>
  <si>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</si>
  <si>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</si>
  <si>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</si>
  <si>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</si>
  <si>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</si>
  <si>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</si>
  <si>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</si>
  <si>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</si>
  <si>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</si>
  <si>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</si>
  <si>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</si>
  <si>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</si>
  <si>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</si>
  <si>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</si>
  <si>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</si>
  <si>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</si>
  <si>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</si>
  <si>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</si>
  <si>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</si>
  <si>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</si>
  <si>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</si>
  <si>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</si>
  <si>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</si>
  <si>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</si>
  <si>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</si>
  <si>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</si>
  <si>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</si>
  <si>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</si>
  <si>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</si>
  <si>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</si>
  <si>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</si>
  <si>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</si>
  <si>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</si>
  <si>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</si>
  <si>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</si>
  <si>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</si>
  <si>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</si>
  <si>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</si>
  <si>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</si>
  <si>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</si>
  <si>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</si>
  <si>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</si>
  <si>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</si>
  <si>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</si>
  <si>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</si>
  <si>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</si>
  <si>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</si>
  <si>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</si>
  <si>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</si>
  <si>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</si>
  <si>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</si>
  <si>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</si>
  <si>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</si>
  <si>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</si>
  <si>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</si>
  <si>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</si>
  <si>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</si>
  <si>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</si>
  <si>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</si>
  <si>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</si>
  <si>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</si>
  <si>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</si>
  <si>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</si>
  <si>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</si>
  <si>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</si>
  <si>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</si>
  <si>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</si>
  <si>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</si>
  <si>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</si>
  <si>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</si>
  <si>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</si>
  <si>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</si>
  <si>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</si>
  <si>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</si>
  <si>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</si>
  <si>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</si>
  <si>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</si>
  <si>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</si>
  <si>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</si>
  <si>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</si>
  <si>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</si>
  <si>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</si>
  <si>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</si>
  <si>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</si>
  <si>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</si>
  <si>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</si>
  <si>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</si>
  <si>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</si>
  <si>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</si>
  <si>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</si>
  <si>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</si>
  <si>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</si>
  <si>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</si>
  <si>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</si>
  <si>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</si>
  <si>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</si>
  <si>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</si>
  <si>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</si>
  <si>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</si>
  <si>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</si>
  <si>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</si>
  <si>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</si>
  <si>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</si>
  <si>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</si>
  <si>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</si>
  <si>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</si>
  <si>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</si>
  <si>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</si>
  <si>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</si>
  <si>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</si>
  <si>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</si>
  <si>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</si>
  <si>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</si>
  <si>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</si>
  <si>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</si>
  <si>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</si>
  <si>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</si>
  <si>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</si>
  <si>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</si>
  <si>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</si>
  <si>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</si>
  <si>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</si>
  <si>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</si>
  <si>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</si>
  <si>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</si>
  <si>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</si>
  <si>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</si>
  <si>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</si>
  <si>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</si>
  <si>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</si>
  <si>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</si>
  <si>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</si>
  <si>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</si>
  <si>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</si>
  <si>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</si>
  <si>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</si>
  <si>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</si>
  <si>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</si>
  <si>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</si>
  <si>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</si>
  <si>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</si>
  <si>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</si>
  <si>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</si>
  <si>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</si>
  <si>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</si>
  <si>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</si>
  <si>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</si>
  <si>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</si>
  <si>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</si>
  <si>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</si>
  <si>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</si>
  <si>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</si>
  <si>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</si>
  <si>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</si>
  <si>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</si>
  <si>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</si>
  <si>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</si>
  <si>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</si>
  <si>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</si>
  <si>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</si>
  <si>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</si>
  <si>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</si>
  <si>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</si>
  <si>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</si>
  <si>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</si>
  <si>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</si>
  <si>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</si>
  <si>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</si>
  <si>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</si>
  <si>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</si>
  <si>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</si>
  <si>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</si>
  <si>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</si>
  <si>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</si>
  <si>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</si>
  <si>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</si>
  <si>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</si>
  <si>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</si>
  <si>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</si>
  <si>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</si>
  <si>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</si>
  <si>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</si>
  <si>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</si>
  <si>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</si>
  <si>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</si>
  <si>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</si>
  <si>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</si>
  <si>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</si>
  <si>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</si>
  <si>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</si>
  <si>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</si>
  <si>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</si>
  <si>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</si>
  <si>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</si>
  <si>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</si>
  <si>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</si>
  <si>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</si>
  <si>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</si>
  <si>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</si>
  <si>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</si>
  <si>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</si>
  <si>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</si>
  <si>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</si>
  <si>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</si>
  <si>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</si>
  <si>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</si>
  <si>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</si>
  <si>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</si>
  <si>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</si>
  <si>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</si>
  <si>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</si>
  <si>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</si>
  <si>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</si>
  <si>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</si>
  <si>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</si>
  <si>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</si>
  <si>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</si>
  <si>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</si>
  <si>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</si>
  <si>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</si>
  <si>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</si>
  <si>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</si>
  <si>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</si>
  <si>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</si>
  <si>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</si>
  <si>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</si>
  <si>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</si>
  <si>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</si>
  <si>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</si>
  <si>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</si>
  <si>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</si>
  <si>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</si>
  <si>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</si>
  <si>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</si>
  <si>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</si>
  <si>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</si>
  <si>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</si>
  <si>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</si>
  <si>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</si>
  <si>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</si>
  <si>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</si>
  <si>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</si>
  <si>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</si>
  <si>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</si>
  <si>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</si>
  <si>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</si>
  <si>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</si>
  <si>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</si>
  <si>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</si>
  <si>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</si>
  <si>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</si>
  <si>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</si>
  <si>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</si>
  <si>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</si>
  <si>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</si>
  <si>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</si>
  <si>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</si>
  <si>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</si>
  <si>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</si>
  <si>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</si>
  <si>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</si>
  <si>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</si>
  <si>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</si>
  <si>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</si>
  <si>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</si>
  <si>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</si>
  <si>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</si>
  <si>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</si>
  <si>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</si>
  <si>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</si>
  <si>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</si>
  <si>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</si>
  <si>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</si>
  <si>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</si>
  <si>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</si>
  <si>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</si>
  <si>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</si>
  <si>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</si>
  <si>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</si>
  <si>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</si>
  <si>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</si>
  <si>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</si>
  <si>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</si>
  <si>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</si>
  <si>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</si>
  <si>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</si>
  <si>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</si>
  <si>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</si>
  <si>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</si>
  <si>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</si>
  <si>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</si>
  <si>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</si>
  <si>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</si>
  <si>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</si>
  <si>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</si>
  <si>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</si>
  <si>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</si>
  <si>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</si>
  <si>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</si>
  <si>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</si>
  <si>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</si>
  <si>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</si>
  <si>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</si>
  <si>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</si>
  <si>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</si>
  <si>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</si>
  <si>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</si>
  <si>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</si>
  <si>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</si>
  <si>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</si>
  <si>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</si>
  <si>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</si>
  <si>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</si>
  <si>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</si>
  <si>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</si>
  <si>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</si>
  <si>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</si>
  <si>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</si>
  <si>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</si>
  <si>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</si>
  <si>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</si>
  <si>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</si>
  <si>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</si>
  <si>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</si>
  <si>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</si>
  <si>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</si>
  <si>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</si>
  <si>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</si>
  <si>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</si>
  <si>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</si>
  <si>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</si>
  <si>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</si>
  <si>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</si>
  <si>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</si>
  <si>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</si>
  <si>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</si>
  <si>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</si>
  <si>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</si>
  <si>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</si>
  <si>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</si>
  <si>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</si>
  <si>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</si>
  <si>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</si>
  <si>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</si>
  <si>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</si>
  <si>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</si>
  <si>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</si>
  <si>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</si>
  <si>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</si>
  <si>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</si>
  <si>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</si>
  <si>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</si>
  <si>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</si>
  <si>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</si>
  <si>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</si>
  <si>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</si>
  <si>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</si>
  <si>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</si>
  <si>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</si>
  <si>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</si>
  <si>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</si>
  <si>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</si>
  <si>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</si>
  <si>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</si>
  <si>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</si>
  <si>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</si>
  <si>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</si>
  <si>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</si>
  <si>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</si>
  <si>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</si>
  <si>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</si>
  <si>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</si>
  <si>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</si>
  <si>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</si>
  <si>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</si>
  <si>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</si>
  <si>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</si>
  <si>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</si>
  <si>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</si>
  <si>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</si>
  <si>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</si>
  <si>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</si>
  <si>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</si>
  <si>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</si>
  <si>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</si>
  <si>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</si>
  <si>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</si>
  <si>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</si>
  <si>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</si>
  <si>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</si>
  <si>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</si>
  <si>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</si>
  <si>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</si>
  <si>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</si>
  <si>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</si>
  <si>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</si>
  <si>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</si>
  <si>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</si>
  <si>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</si>
  <si>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</si>
  <si>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</si>
  <si>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</si>
  <si>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</si>
  <si>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</si>
  <si>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</si>
  <si>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</si>
  <si>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</si>
  <si>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</si>
  <si>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</si>
  <si>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</si>
  <si>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</si>
  <si>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</si>
  <si>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</si>
  <si>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</si>
  <si>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</si>
  <si>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</si>
  <si>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</si>
  <si>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</si>
  <si>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</si>
  <si>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</si>
  <si>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</si>
  <si>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</si>
  <si>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</si>
  <si>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</si>
  <si>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</si>
  <si>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</si>
  <si>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</si>
  <si>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</si>
  <si>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</si>
  <si>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</si>
  <si>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</si>
  <si>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</si>
  <si>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</si>
  <si>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</si>
  <si>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</si>
  <si>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</si>
  <si>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</si>
  <si>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</si>
  <si>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</si>
  <si>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</si>
  <si>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</si>
  <si>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</si>
  <si>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</si>
  <si>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</si>
  <si>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</si>
  <si>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</si>
  <si>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</si>
  <si>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</si>
  <si>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</si>
  <si>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</si>
  <si>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</si>
  <si>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</si>
  <si>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</si>
  <si>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</si>
  <si>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</si>
  <si>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</si>
  <si>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</si>
  <si>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</si>
  <si>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</si>
  <si>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</si>
  <si>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</si>
  <si>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</si>
  <si>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</si>
  <si>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</si>
  <si>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</si>
  <si>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</si>
  <si>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</si>
  <si>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</si>
  <si>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</si>
  <si>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</si>
  <si>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</si>
  <si>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</si>
  <si>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</si>
  <si>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</si>
  <si>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</si>
  <si>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</si>
  <si>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</si>
  <si>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</si>
  <si>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</si>
  <si>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</si>
  <si>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</si>
  <si>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</si>
  <si>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</si>
  <si>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</si>
  <si>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</si>
  <si>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</si>
  <si>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</si>
  <si>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</si>
  <si>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</si>
  <si>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</si>
  <si>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</si>
  <si>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</si>
  <si>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</si>
  <si>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</si>
  <si>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</si>
  <si>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</si>
  <si>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</si>
  <si>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</si>
  <si>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</si>
  <si>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</si>
  <si>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</si>
  <si>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</si>
  <si>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</si>
  <si>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</si>
  <si>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</si>
  <si>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</si>
  <si>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</si>
  <si>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</si>
  <si>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</si>
  <si>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</si>
  <si>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</si>
  <si>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</si>
  <si>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</si>
  <si>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</si>
  <si>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</si>
  <si>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</si>
  <si>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</si>
  <si>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</si>
  <si>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</si>
  <si>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</si>
  <si>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</si>
  <si>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</si>
  <si>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</si>
  <si>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</si>
  <si>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</si>
  <si>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</si>
  <si>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</si>
  <si>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</si>
  <si>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</si>
  <si>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</si>
  <si>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</si>
  <si>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</si>
  <si>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</si>
  <si>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</si>
  <si>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</si>
  <si>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</si>
  <si>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</si>
  <si>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</si>
  <si>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</si>
  <si>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</si>
  <si>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</si>
  <si>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</si>
  <si>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</si>
  <si>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</si>
  <si>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</si>
  <si>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</si>
  <si>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</si>
  <si>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</si>
  <si>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</si>
  <si>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</si>
  <si>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</si>
  <si>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</si>
  <si>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</si>
  <si>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</si>
  <si>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</si>
  <si>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</si>
  <si>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</si>
  <si>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</si>
  <si>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</si>
  <si>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</si>
  <si>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</si>
  <si>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</si>
  <si>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</si>
  <si>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</si>
  <si>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</si>
  <si>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</si>
  <si>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</si>
  <si>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</si>
  <si>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</si>
  <si>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</si>
  <si>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</si>
  <si>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</si>
  <si>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</si>
  <si>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</si>
  <si>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</si>
  <si>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</si>
  <si>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</si>
  <si>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</si>
  <si>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</si>
  <si>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</si>
  <si>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</si>
  <si>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</si>
  <si>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</si>
  <si>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</si>
  <si>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</si>
  <si>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</si>
  <si>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</si>
  <si>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</si>
  <si>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</si>
  <si>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</si>
  <si>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</si>
  <si>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</si>
  <si>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</si>
  <si>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</si>
  <si>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</si>
  <si>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</si>
  <si>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</si>
  <si>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</si>
  <si>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</si>
  <si>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</si>
  <si>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</si>
  <si>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</si>
  <si>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</si>
  <si>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</si>
  <si>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</si>
  <si>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</si>
  <si>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</si>
  <si>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</si>
  <si>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</si>
  <si>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</si>
  <si>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</si>
  <si>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</si>
  <si>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</si>
  <si>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</si>
  <si>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</si>
  <si>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</si>
  <si>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</si>
  <si>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</si>
  <si>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</si>
  <si>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</si>
  <si>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</si>
  <si>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</si>
  <si>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</si>
  <si>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</si>
  <si>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</si>
  <si>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</si>
  <si>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</si>
  <si>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</si>
  <si>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</si>
  <si>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</si>
  <si>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</si>
  <si>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</si>
  <si>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</si>
  <si>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</si>
  <si>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</si>
  <si>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</si>
  <si>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</si>
  <si>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</si>
  <si>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</si>
  <si>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</si>
  <si>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</si>
  <si>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</si>
  <si>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</si>
  <si>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</si>
  <si>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</si>
  <si>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</si>
  <si>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</si>
  <si>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</si>
  <si>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</si>
  <si>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</si>
  <si>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</si>
  <si>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</si>
  <si>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</si>
  <si>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</si>
  <si>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</si>
  <si>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</si>
  <si>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</si>
  <si>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</si>
  <si>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</si>
  <si>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</si>
  <si>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</si>
  <si>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</si>
  <si>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</si>
  <si>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</si>
  <si>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</si>
  <si>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</si>
  <si>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</si>
  <si>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</si>
  <si>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</si>
  <si>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</si>
  <si>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</si>
  <si>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</si>
  <si>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</si>
  <si>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</si>
  <si>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</si>
  <si>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</si>
  <si>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</si>
  <si>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</si>
  <si>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</si>
  <si>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</si>
  <si>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</si>
  <si>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</si>
  <si>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</si>
  <si>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</si>
  <si>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</si>
  <si>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</si>
  <si>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</si>
  <si>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</si>
  <si>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</si>
  <si>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</si>
  <si>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</si>
  <si>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</si>
  <si>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</si>
  <si>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</si>
  <si>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</si>
  <si>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</si>
  <si>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</si>
  <si>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</si>
  <si>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</si>
  <si>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</si>
  <si>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</si>
  <si>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</si>
  <si>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</si>
  <si>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</si>
  <si>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</si>
  <si>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</si>
  <si>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</si>
  <si>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</si>
  <si>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</si>
  <si>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</si>
  <si>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</si>
  <si>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</si>
  <si>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</si>
  <si>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</si>
  <si>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</si>
  <si>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</si>
  <si>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</si>
  <si>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</si>
  <si>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</si>
  <si>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</si>
  <si>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</si>
  <si>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</si>
  <si>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</si>
  <si>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</si>
  <si>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</si>
  <si>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</si>
  <si>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</si>
  <si>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</si>
  <si>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</si>
  <si>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</si>
  <si>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</si>
  <si>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</si>
  <si>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</si>
  <si>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</si>
  <si>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</si>
  <si>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</si>
  <si>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</si>
  <si>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</si>
  <si>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</si>
  <si>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</si>
  <si>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</si>
  <si>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</si>
  <si>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</si>
  <si>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</si>
  <si>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</si>
  <si>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</si>
  <si>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</si>
  <si>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</si>
  <si>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</si>
  <si>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</si>
  <si>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</si>
  <si>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</si>
  <si>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</si>
  <si>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</si>
  <si>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</si>
  <si>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</si>
  <si>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</si>
  <si>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</si>
  <si>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</si>
  <si>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</si>
  <si>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</si>
  <si>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</si>
  <si>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</si>
  <si>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</si>
  <si>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</si>
  <si>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</si>
  <si>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</si>
  <si>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</si>
  <si>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</si>
  <si>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</si>
  <si>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</si>
  <si>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</si>
  <si>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</si>
  <si>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</si>
  <si>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</si>
  <si>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</si>
  <si>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</si>
  <si>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</si>
  <si>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</si>
  <si>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</si>
  <si>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</si>
  <si>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</si>
  <si>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</si>
  <si>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</si>
  <si>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</si>
  <si>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</si>
  <si>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</si>
  <si>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</si>
  <si>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</si>
  <si>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</si>
  <si>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</si>
  <si>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</si>
  <si>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</si>
  <si>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</si>
  <si>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</si>
  <si>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</si>
  <si>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</si>
  <si>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</si>
  <si>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</si>
  <si>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</si>
  <si>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</si>
  <si>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</si>
  <si>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</si>
  <si>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</si>
  <si>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</si>
  <si>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</si>
  <si>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</si>
  <si>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</si>
  <si>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</si>
  <si>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</si>
  <si>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</si>
  <si>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</si>
  <si>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</si>
  <si>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</si>
  <si>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</si>
  <si>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</si>
  <si>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</si>
  <si>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</si>
  <si>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</si>
  <si>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</si>
  <si>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</si>
  <si>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</si>
  <si>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</si>
  <si>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</si>
  <si>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</si>
  <si>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</si>
  <si>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</si>
  <si>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</si>
  <si>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</si>
  <si>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</si>
  <si>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</si>
  <si>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</si>
  <si>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</si>
  <si>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</si>
  <si>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</si>
  <si>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</si>
  <si>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</si>
  <si>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</si>
  <si>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</si>
  <si>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</si>
  <si>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</si>
  <si>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</si>
  <si>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</si>
  <si>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</si>
  <si>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</si>
  <si>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</si>
  <si>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</si>
  <si>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</si>
  <si>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</si>
  <si>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</si>
  <si>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</si>
  <si>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</si>
  <si>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</si>
  <si>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</si>
  <si>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</si>
  <si>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</si>
  <si>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</si>
  <si>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</si>
  <si>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</si>
  <si>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</si>
  <si>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</si>
  <si>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</si>
  <si>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</si>
  <si>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</si>
  <si>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</si>
  <si>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</si>
  <si>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</si>
  <si>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</si>
  <si>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</si>
  <si>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</si>
  <si>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</si>
  <si>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</si>
  <si>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</si>
  <si>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</si>
  <si>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</si>
  <si>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</si>
  <si>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</si>
  <si>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</si>
  <si>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</si>
  <si>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</si>
  <si>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</si>
  <si>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</si>
  <si>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</si>
  <si>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</si>
  <si>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</si>
  <si>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</si>
  <si>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</si>
  <si>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</si>
  <si>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</si>
  <si>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</si>
  <si>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</si>
  <si>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</si>
  <si>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</si>
  <si>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</si>
  <si>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</si>
  <si>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</si>
  <si>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</si>
  <si>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</si>
  <si>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</si>
  <si>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</si>
  <si>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</si>
  <si>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</si>
  <si>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</si>
  <si>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</si>
  <si>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</si>
  <si>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</si>
  <si>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</si>
  <si>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</si>
  <si>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</si>
  <si>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</si>
  <si>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</si>
  <si>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</si>
  <si>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</si>
  <si>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</si>
  <si>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</si>
  <si>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</si>
  <si>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</si>
  <si>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</si>
  <si>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</si>
  <si>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</si>
  <si>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</si>
  <si>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</si>
  <si>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</si>
  <si>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</si>
  <si>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</si>
  <si>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</si>
  <si>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</si>
  <si>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</si>
  <si>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</si>
  <si>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</si>
  <si>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</si>
  <si>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</si>
  <si>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</si>
  <si>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</si>
  <si>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</si>
  <si>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</si>
  <si>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</si>
  <si>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</si>
  <si>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</si>
  <si>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</si>
  <si>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</si>
  <si>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</si>
  <si>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</si>
  <si>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</si>
  <si>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</si>
  <si>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</si>
  <si>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</si>
  <si>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</si>
  <si>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</si>
  <si>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</si>
  <si>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</si>
  <si>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</si>
  <si>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</si>
  <si>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</si>
  <si>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</si>
  <si>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</si>
  <si>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</si>
  <si>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</si>
  <si>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</si>
  <si>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</si>
  <si>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</si>
  <si>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</si>
  <si>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</si>
  <si>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</si>
  <si>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</si>
  <si>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</si>
  <si>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</si>
  <si>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</si>
  <si>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</si>
  <si>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</si>
  <si>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</si>
  <si>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</si>
  <si>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</si>
  <si>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</si>
  <si>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</si>
  <si>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</si>
  <si>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</si>
  <si>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</si>
  <si>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</si>
  <si>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</si>
  <si>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</si>
  <si>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</si>
  <si>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</si>
  <si>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</si>
  <si>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</si>
  <si>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</si>
  <si>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</si>
  <si>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</si>
  <si>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</si>
  <si>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</si>
  <si>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</si>
  <si>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</si>
  <si>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</si>
  <si>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</si>
  <si>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</si>
  <si>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</si>
  <si>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</si>
  <si>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</si>
  <si>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</si>
  <si>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</si>
  <si>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</si>
  <si>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</si>
  <si>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</si>
  <si>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</si>
  <si>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</si>
  <si>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</si>
  <si>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</si>
  <si>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</si>
  <si>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</si>
  <si>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</si>
  <si>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</si>
  <si>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</si>
  <si>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</si>
  <si>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</si>
  <si>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</si>
  <si>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</si>
  <si>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</si>
  <si>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</si>
  <si>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</si>
  <si>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</si>
  <si>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</si>
  <si>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</si>
  <si>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</si>
  <si>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</si>
  <si>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</si>
  <si>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</si>
  <si>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</si>
  <si>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</si>
  <si>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</si>
  <si>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</si>
  <si>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</si>
  <si>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</si>
  <si>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</si>
  <si>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</si>
  <si>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</si>
  <si>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</si>
  <si>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</si>
  <si>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</si>
  <si>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</si>
  <si>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</si>
  <si>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</si>
  <si>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</si>
  <si>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</si>
  <si>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</si>
  <si>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</si>
  <si>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</si>
  <si>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</si>
  <si>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</si>
  <si>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</si>
  <si>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</si>
  <si>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</si>
  <si>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</si>
  <si>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</si>
  <si>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</si>
  <si>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</si>
  <si>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</si>
  <si>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</si>
  <si>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</si>
  <si>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</si>
  <si>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</si>
  <si>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</si>
  <si>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</si>
  <si>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</si>
  <si>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</si>
  <si>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</si>
  <si>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</si>
  <si>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</si>
  <si>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</si>
  <si>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</si>
  <si>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</si>
  <si>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</si>
  <si>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</si>
  <si>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</si>
  <si>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</si>
  <si>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</si>
  <si>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</si>
  <si>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</si>
  <si>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</si>
  <si>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</si>
  <si>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</si>
  <si>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</si>
  <si>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</si>
  <si>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</si>
  <si>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</si>
  <si>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</si>
  <si>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</si>
  <si>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</si>
  <si>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</si>
  <si>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</si>
  <si>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</si>
  <si>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</si>
  <si>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</si>
  <si>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</si>
  <si>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</si>
  <si>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</si>
  <si>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</si>
  <si>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</si>
  <si>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</si>
  <si>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</si>
  <si>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</si>
  <si>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</si>
  <si>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</si>
  <si>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</si>
  <si>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</si>
  <si>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</si>
  <si>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</si>
  <si>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</si>
  <si>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</si>
  <si>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</si>
  <si>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</si>
  <si>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</si>
  <si>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</si>
  <si>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</si>
  <si>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</si>
  <si>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</si>
  <si>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</si>
  <si>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</si>
  <si>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</si>
  <si>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</si>
  <si>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</si>
  <si>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</si>
  <si>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</si>
  <si>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</si>
  <si>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</si>
  <si>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</si>
  <si>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</si>
  <si>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</si>
  <si>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</si>
  <si>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</si>
  <si>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</si>
  <si>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</si>
  <si>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</si>
  <si>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</si>
  <si>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</si>
  <si>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</si>
  <si>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</si>
  <si>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</si>
  <si>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</si>
  <si>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</si>
  <si>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</si>
  <si>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</si>
  <si>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</si>
  <si>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</si>
  <si>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</si>
  <si>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</si>
  <si>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</si>
  <si>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</si>
  <si>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</si>
  <si>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</si>
  <si>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</si>
  <si>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</si>
  <si>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</si>
  <si>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</si>
  <si>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</si>
  <si>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</si>
  <si>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</si>
  <si>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</si>
  <si>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</si>
  <si>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</si>
  <si>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</si>
  <si>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</si>
  <si>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</si>
  <si>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</si>
  <si>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</si>
  <si>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</si>
  <si>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</si>
  <si>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</si>
  <si>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</si>
  <si>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</si>
  <si>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</si>
  <si>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</si>
  <si>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</si>
  <si>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</si>
  <si>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</si>
  <si>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</si>
  <si>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</si>
  <si>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</si>
  <si>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</si>
  <si>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</si>
  <si>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</si>
  <si>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</si>
  <si>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</si>
  <si>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</si>
  <si>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</si>
  <si>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</si>
  <si>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</si>
  <si>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</si>
  <si>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</si>
  <si>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</si>
  <si>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</si>
  <si>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</si>
  <si>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</si>
  <si>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</si>
  <si>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</si>
  <si>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</si>
  <si>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</si>
  <si>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</si>
  <si>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</si>
  <si>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</si>
  <si>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</si>
  <si>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</si>
  <si>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</si>
  <si>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</si>
  <si>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</si>
  <si>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</si>
  <si>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</si>
  <si>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</si>
  <si>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</si>
  <si>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</si>
  <si>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</si>
  <si>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</si>
  <si>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</si>
  <si>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</si>
  <si>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</si>
  <si>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</si>
  <si>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</si>
  <si>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</si>
  <si>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</si>
  <si>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</si>
  <si>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</si>
  <si>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</si>
  <si>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</si>
  <si>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</si>
  <si>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</si>
  <si>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</si>
  <si>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</si>
  <si>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</si>
  <si>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</si>
  <si>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</si>
  <si>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</si>
  <si>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</si>
  <si>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</si>
  <si>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</si>
  <si>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</si>
  <si>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</si>
  <si>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</si>
  <si>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</si>
  <si>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</si>
  <si>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</si>
  <si>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</si>
  <si>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</si>
  <si>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</si>
  <si>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</si>
  <si>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</si>
  <si>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</si>
  <si>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</si>
  <si>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</si>
  <si>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</si>
  <si>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</si>
  <si>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</si>
  <si>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</si>
  <si>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</si>
  <si>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</si>
  <si>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</si>
  <si>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</si>
  <si>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</si>
  <si>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</si>
  <si>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</si>
  <si>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</si>
  <si>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</si>
  <si>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</si>
  <si>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</si>
  <si>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</si>
  <si>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</si>
  <si>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</si>
  <si>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</si>
  <si>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</si>
  <si>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</si>
  <si>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</si>
  <si>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</si>
  <si>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</si>
  <si>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</si>
  <si>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</si>
  <si>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</si>
  <si>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</si>
  <si>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</si>
  <si>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</si>
  <si>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</si>
  <si>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</si>
  <si>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</si>
  <si>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</si>
  <si>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</si>
  <si>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</si>
  <si>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</si>
  <si>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</si>
  <si>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</si>
  <si>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</si>
  <si>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</si>
  <si>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</si>
  <si>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</si>
  <si>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</si>
  <si>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</si>
  <si>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</si>
  <si>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</si>
  <si>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</si>
  <si>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</si>
  <si>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</si>
  <si>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</si>
  <si>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</si>
  <si>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</si>
  <si>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</si>
  <si>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</si>
  <si>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</si>
  <si>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</si>
  <si>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</si>
  <si>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</si>
  <si>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</si>
  <si>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</si>
  <si>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</si>
  <si>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</si>
  <si>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</si>
  <si>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</si>
  <si>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</si>
  <si>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</si>
  <si>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</si>
  <si>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</si>
  <si>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</si>
  <si>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</si>
  <si>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</si>
  <si>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</si>
  <si>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</si>
  <si>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</si>
  <si>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</si>
  <si>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</si>
  <si>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</si>
  <si>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</si>
  <si>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</si>
  <si>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</si>
  <si>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</si>
  <si>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</si>
  <si>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</si>
  <si>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</si>
  <si>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</si>
  <si>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</si>
  <si>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</si>
  <si>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</si>
  <si>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</si>
  <si>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</si>
  <si>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</si>
  <si>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</si>
  <si>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</si>
  <si>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</si>
  <si>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</si>
  <si>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</si>
  <si>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</si>
  <si>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</si>
  <si>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</si>
  <si>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</si>
  <si>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</si>
  <si>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</si>
  <si>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</si>
  <si>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</si>
  <si>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</si>
  <si>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</si>
  <si>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</si>
  <si>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</si>
  <si>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</si>
  <si>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</si>
  <si>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</si>
  <si>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</si>
  <si>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</si>
  <si>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</si>
  <si>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</si>
  <si>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</si>
  <si>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</si>
  <si>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</si>
  <si>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</si>
  <si>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</si>
  <si>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</si>
  <si>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</si>
  <si>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</si>
  <si>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</si>
  <si>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</si>
  <si>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</si>
  <si>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</si>
  <si>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</si>
  <si>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</si>
  <si>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</si>
  <si>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</si>
  <si>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</si>
  <si>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</si>
  <si>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</si>
  <si>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</si>
  <si>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</si>
  <si>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</si>
  <si>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</si>
  <si>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</si>
  <si>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</si>
  <si>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</si>
  <si>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</si>
  <si>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</si>
  <si>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</si>
  <si>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</si>
  <si>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</si>
  <si>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</si>
  <si>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</si>
  <si>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</si>
  <si>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</si>
  <si>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</si>
  <si>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</si>
  <si>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</si>
  <si>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</si>
  <si>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</si>
  <si>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</si>
  <si>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</si>
  <si>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</si>
  <si>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</si>
  <si>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</si>
  <si>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</si>
  <si>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</si>
  <si>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</si>
  <si>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</si>
  <si>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</si>
  <si>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</si>
  <si>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</si>
  <si>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</si>
  <si>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</si>
  <si>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</si>
  <si>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</si>
  <si>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</si>
  <si>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</si>
  <si>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</si>
  <si>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</si>
  <si>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</si>
  <si>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</si>
  <si>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</si>
  <si>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</si>
  <si>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</si>
  <si>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</si>
  <si>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</si>
  <si>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</si>
  <si>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</si>
  <si>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</si>
  <si>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</si>
  <si>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</si>
  <si>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</si>
  <si>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</si>
  <si>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</si>
  <si>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</si>
  <si>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</si>
  <si>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</si>
  <si>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</si>
  <si>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</si>
  <si>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</si>
  <si>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</si>
  <si>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</si>
  <si>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</si>
  <si>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</si>
  <si>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</si>
  <si>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</si>
  <si>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</si>
  <si>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</si>
  <si>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</si>
  <si>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</si>
  <si>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</si>
  <si>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</si>
  <si>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</si>
  <si>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</si>
  <si>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</si>
  <si>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</si>
  <si>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</si>
  <si>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</si>
  <si>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</si>
  <si>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</si>
  <si>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</si>
  <si>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</si>
  <si>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</si>
  <si>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</si>
  <si>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</si>
  <si>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</si>
  <si>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</si>
  <si>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</si>
  <si>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</si>
  <si>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</si>
  <si>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</si>
  <si>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</si>
  <si>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</si>
  <si>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</si>
  <si>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</si>
  <si>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</si>
  <si>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</si>
  <si>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</si>
  <si>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</si>
  <si>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</si>
  <si>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</si>
  <si>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</si>
  <si>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</si>
  <si>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</si>
  <si>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</si>
  <si>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</si>
  <si>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</si>
  <si>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</si>
  <si>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</si>
  <si>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</si>
  <si>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</si>
  <si>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</si>
  <si>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</si>
  <si>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</si>
  <si>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</si>
  <si>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</si>
  <si>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</si>
  <si>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</si>
  <si>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</si>
  <si>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</si>
  <si>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</si>
  <si>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</si>
  <si>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</si>
  <si>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</si>
  <si>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</si>
  <si>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</si>
  <si>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</si>
  <si>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</si>
  <si>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</si>
  <si>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</si>
  <si>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</si>
  <si>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</si>
  <si>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</si>
  <si>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</si>
  <si>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</si>
  <si>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</si>
  <si>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</si>
  <si>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</si>
  <si>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</si>
  <si>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</si>
  <si>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</si>
  <si>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</si>
  <si>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</si>
  <si>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</si>
  <si>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</si>
  <si>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</si>
  <si>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</si>
  <si>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</si>
  <si>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</si>
  <si>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</si>
  <si>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</si>
  <si>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</si>
  <si>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</si>
  <si>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</si>
  <si>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</si>
  <si>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</si>
  <si>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</si>
  <si>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</si>
  <si>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</si>
  <si>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</si>
  <si>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</si>
  <si>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</si>
  <si>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</si>
  <si>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</si>
  <si>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</si>
  <si>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</si>
  <si>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</si>
  <si>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</si>
  <si>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</si>
  <si>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</si>
  <si>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</si>
  <si>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</si>
  <si>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</si>
  <si>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</si>
  <si>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</si>
  <si>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</si>
  <si>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</si>
  <si>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</si>
  <si>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</si>
  <si>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</si>
  <si>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</si>
  <si>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</si>
  <si>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</si>
  <si>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</si>
  <si>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</si>
  <si>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</si>
  <si>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</si>
  <si>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</si>
  <si>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</si>
  <si>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</si>
  <si>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</si>
  <si>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</si>
  <si>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</si>
  <si>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</si>
  <si>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</si>
  <si>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</si>
  <si>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</si>
  <si>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</si>
  <si>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</si>
  <si>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</si>
  <si>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</si>
  <si>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</si>
  <si>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</si>
  <si>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</si>
  <si>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</si>
  <si>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</si>
  <si>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</si>
  <si>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</si>
  <si>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</si>
  <si>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</si>
  <si>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</si>
  <si>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</si>
  <si>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</si>
  <si>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</si>
  <si>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</si>
  <si>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</si>
  <si>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</si>
  <si>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</si>
  <si>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</si>
  <si>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</si>
  <si>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</si>
  <si>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</si>
  <si>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</si>
  <si>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</si>
  <si>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</si>
  <si>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</si>
  <si>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</si>
  <si>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</si>
  <si>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</si>
  <si>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</si>
  <si>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</si>
  <si>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</si>
  <si>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</si>
  <si>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</si>
  <si>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</si>
  <si>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</si>
  <si>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</si>
  <si>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</si>
  <si>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</si>
  <si>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</si>
  <si>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</si>
  <si>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</si>
  <si>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</si>
  <si>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</si>
  <si>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</si>
  <si>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</si>
  <si>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</si>
  <si>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</si>
  <si>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</si>
  <si>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</si>
  <si>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</si>
  <si>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</si>
  <si>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</si>
  <si>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</si>
  <si>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</si>
  <si>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</si>
  <si>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</si>
  <si>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</si>
  <si>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</si>
  <si>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</si>
  <si>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</si>
  <si>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</si>
  <si>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</si>
  <si>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</si>
  <si>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</si>
  <si>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</si>
  <si>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</si>
  <si>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</si>
  <si>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</si>
  <si>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</si>
  <si>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</si>
  <si>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</si>
  <si>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</si>
  <si>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</si>
  <si>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</si>
  <si>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</si>
  <si>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</si>
  <si>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</si>
  <si>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</si>
  <si>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</si>
  <si>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</si>
  <si>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</si>
  <si>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</si>
  <si>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</si>
  <si>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</si>
  <si>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</si>
  <si>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</si>
  <si>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</si>
  <si>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</si>
  <si>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</si>
  <si>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</si>
  <si>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</si>
  <si>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</si>
  <si>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</si>
  <si>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</si>
  <si>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</si>
  <si>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</si>
  <si>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</si>
  <si>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</si>
  <si>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</si>
  <si>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</si>
  <si>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</si>
  <si>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</si>
  <si>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</si>
  <si>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</si>
  <si>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</si>
  <si>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</si>
  <si>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</si>
  <si>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</si>
  <si>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</si>
  <si>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</si>
  <si>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</si>
  <si>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</si>
  <si>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</si>
  <si>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</si>
  <si>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</si>
  <si>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</si>
  <si>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</si>
  <si>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</si>
  <si>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</si>
  <si>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</si>
  <si>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</si>
  <si>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</si>
  <si>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</si>
  <si>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</si>
  <si>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</si>
  <si>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</si>
  <si>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</si>
  <si>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</si>
  <si>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</si>
  <si>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</si>
  <si>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</si>
  <si>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</si>
  <si>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</si>
  <si>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</si>
  <si>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</si>
  <si>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</si>
  <si>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</si>
  <si>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</si>
  <si>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</si>
  <si>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</si>
  <si>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</si>
  <si>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</si>
  <si>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</si>
  <si>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</si>
  <si>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</si>
  <si>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</si>
  <si>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</si>
  <si>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</si>
  <si>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</si>
  <si>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</si>
  <si>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</si>
  <si>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</si>
  <si>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</si>
  <si>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</si>
  <si>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</si>
  <si>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</si>
  <si>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</si>
  <si>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</si>
  <si>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</si>
  <si>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</si>
  <si>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</si>
  <si>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</si>
  <si>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</si>
  <si>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</si>
  <si>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</si>
  <si>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</si>
  <si>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</si>
  <si>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</si>
  <si>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</si>
  <si>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</si>
  <si>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</si>
  <si>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</si>
  <si>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</si>
  <si>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</si>
  <si>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</si>
  <si>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</si>
  <si>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</si>
  <si>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</si>
  <si>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</si>
  <si>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</si>
  <si>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</si>
  <si>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</si>
  <si>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</si>
  <si>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</si>
  <si>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</si>
  <si>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</si>
  <si>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</si>
  <si>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</si>
  <si>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</si>
  <si>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</si>
  <si>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</si>
  <si>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</si>
  <si>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</si>
  <si>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</si>
  <si>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</si>
  <si>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</si>
  <si>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</si>
  <si>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</si>
  <si>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</si>
  <si>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</si>
  <si>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</si>
  <si>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</si>
  <si>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</si>
  <si>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</si>
  <si>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</si>
  <si>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</si>
  <si>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</si>
  <si>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</si>
  <si>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</si>
  <si>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</si>
  <si>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</si>
  <si>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</si>
  <si>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</si>
  <si>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</si>
  <si>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</si>
  <si>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</si>
  <si>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</si>
  <si>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</si>
  <si>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</si>
  <si>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</si>
  <si>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</si>
  <si>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</si>
  <si>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</si>
  <si>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</si>
  <si>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</si>
  <si>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</si>
  <si>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</si>
  <si>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</si>
  <si>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</si>
  <si>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</si>
  <si>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</si>
  <si>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</si>
  <si>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</si>
  <si>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</si>
  <si>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</si>
  <si>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</si>
  <si>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</si>
  <si>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</si>
  <si>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</si>
  <si>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</si>
  <si>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</si>
  <si>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</si>
  <si>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</si>
  <si>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</si>
  <si>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</si>
  <si>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</si>
  <si>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</si>
  <si>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</si>
  <si>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</si>
  <si>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</si>
  <si>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</si>
  <si>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</si>
  <si>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</si>
  <si>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</si>
  <si>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</si>
  <si>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</si>
  <si>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</si>
  <si>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</si>
  <si>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</si>
  <si>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</si>
  <si>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</si>
  <si>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</si>
  <si>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</si>
  <si>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</si>
  <si>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</si>
  <si>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</si>
  <si>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</si>
  <si>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</si>
  <si>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</si>
  <si>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</si>
  <si>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</si>
  <si>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</si>
  <si>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</si>
  <si>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</si>
  <si>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</si>
  <si>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</si>
  <si>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</si>
  <si>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</si>
  <si>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</si>
  <si>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</si>
  <si>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</si>
  <si>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</si>
  <si>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</si>
  <si>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</si>
  <si>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</si>
  <si>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</si>
  <si>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</si>
  <si>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</si>
  <si>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</si>
  <si>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</si>
  <si>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</si>
  <si>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</si>
  <si>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</si>
  <si>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</si>
  <si>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</si>
  <si>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</si>
  <si>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</si>
  <si>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</si>
  <si>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</si>
  <si>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</si>
  <si>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</si>
  <si>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</si>
  <si>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</si>
  <si>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</si>
  <si>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</si>
  <si>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</si>
  <si>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</si>
  <si>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</si>
  <si>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</si>
  <si>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</si>
  <si>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</si>
  <si>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</si>
  <si>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</si>
  <si>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</si>
  <si>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</si>
  <si>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</si>
  <si>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</si>
  <si>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</si>
  <si>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</si>
  <si>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</si>
  <si>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</si>
  <si>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</si>
  <si>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</si>
  <si>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</si>
  <si>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</si>
  <si>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</si>
  <si>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</si>
  <si>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</si>
  <si>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</si>
  <si>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</si>
  <si>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</si>
  <si>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</si>
  <si>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</si>
  <si>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</si>
  <si>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</si>
  <si>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</si>
  <si>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</si>
  <si>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</si>
  <si>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</si>
  <si>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</si>
  <si>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</si>
  <si>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</si>
  <si>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</si>
  <si>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</si>
  <si>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</si>
  <si>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</si>
  <si>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</si>
  <si>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</si>
  <si>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</si>
  <si>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</si>
  <si>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</si>
  <si>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</si>
  <si>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</si>
  <si>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</si>
  <si>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</si>
  <si>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</si>
  <si>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</si>
  <si>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</si>
  <si>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</si>
  <si>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</si>
  <si>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</si>
  <si>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</si>
  <si>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</si>
  <si>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</si>
  <si>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</si>
  <si>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</si>
  <si>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</si>
  <si>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</si>
  <si>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</si>
  <si>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</si>
  <si>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</si>
  <si>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</si>
  <si>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</si>
  <si>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</si>
  <si>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</si>
  <si>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</si>
  <si>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</si>
  <si>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</si>
  <si>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</si>
  <si>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</si>
  <si>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</si>
  <si>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</si>
  <si>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</si>
  <si>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</si>
  <si>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</si>
  <si>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</si>
  <si>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</si>
  <si>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</si>
  <si>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</si>
  <si>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</si>
  <si>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</si>
  <si>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</si>
  <si>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</si>
  <si>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</si>
  <si>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</si>
  <si>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</si>
  <si>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</si>
  <si>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</si>
  <si>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</si>
  <si>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</si>
  <si>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</si>
  <si>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</si>
  <si>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</si>
  <si>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</si>
  <si>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</si>
  <si>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</si>
  <si>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</si>
  <si>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</si>
  <si>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</si>
  <si>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</si>
  <si>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</si>
  <si>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</si>
  <si>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</si>
  <si>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</si>
  <si>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</si>
  <si>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</si>
  <si>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</si>
  <si>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</si>
  <si>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</si>
  <si>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</si>
  <si>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</si>
  <si>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</si>
  <si>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</si>
  <si>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</si>
  <si>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</si>
  <si>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</si>
  <si>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</si>
  <si>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</si>
  <si>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</si>
  <si>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</si>
  <si>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</si>
  <si>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</si>
  <si>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</si>
  <si>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</si>
  <si>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</si>
  <si>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</si>
  <si>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</si>
  <si>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</si>
  <si>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</si>
  <si>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</si>
  <si>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</si>
  <si>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</si>
  <si>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</si>
  <si>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</si>
  <si>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</si>
  <si>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</si>
  <si>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</si>
  <si>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</si>
  <si>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</si>
  <si>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</si>
  <si>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</si>
  <si>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</si>
  <si>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</si>
  <si>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</si>
  <si>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</si>
  <si>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</si>
  <si>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</si>
  <si>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</si>
  <si>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</si>
  <si>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</si>
  <si>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</si>
  <si>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</si>
  <si>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</si>
  <si>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</si>
  <si>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</si>
  <si>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</si>
  <si>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</si>
  <si>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</si>
  <si>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</si>
  <si>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</si>
  <si>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</si>
  <si>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</si>
  <si>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</si>
  <si>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</si>
  <si>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</si>
  <si>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</si>
  <si>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</si>
  <si>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</si>
  <si>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</si>
  <si>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</si>
  <si>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</si>
  <si>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</si>
  <si>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</si>
  <si>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</si>
  <si>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</si>
  <si>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</si>
  <si>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</si>
  <si>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</si>
  <si>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</si>
  <si>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</si>
  <si>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</si>
  <si>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</si>
  <si>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</si>
  <si>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</si>
  <si>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</si>
  <si>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</si>
  <si>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</si>
  <si>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</si>
  <si>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</si>
  <si>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</si>
  <si>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</si>
  <si>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</si>
  <si>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</si>
  <si>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</si>
  <si>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</si>
  <si>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</si>
  <si>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</si>
  <si>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</si>
  <si>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</si>
  <si>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</si>
  <si>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</si>
  <si>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</si>
  <si>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</si>
  <si>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</si>
  <si>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</si>
  <si>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</si>
  <si>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</si>
  <si>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</si>
  <si>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</si>
  <si>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</si>
  <si>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</si>
  <si>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</si>
  <si>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</si>
  <si>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</si>
  <si>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</si>
  <si>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</si>
  <si>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</si>
  <si>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</si>
  <si>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</si>
  <si>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</si>
  <si>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</si>
  <si>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</si>
  <si>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</si>
  <si>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</si>
  <si>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</si>
  <si>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</si>
  <si>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</si>
  <si>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</si>
  <si>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</si>
  <si>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</si>
  <si>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</si>
  <si>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</si>
  <si>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</si>
  <si>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</si>
  <si>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</si>
  <si>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</si>
  <si>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</si>
  <si>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</si>
  <si>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</si>
  <si>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</si>
  <si>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</si>
  <si>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</si>
  <si>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</si>
  <si>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</si>
  <si>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</si>
  <si>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</si>
  <si>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</si>
  <si>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</si>
  <si>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</si>
  <si>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</si>
  <si>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</si>
  <si>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</si>
  <si>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</si>
  <si>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</si>
  <si>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</si>
  <si>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</si>
  <si>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</si>
  <si>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</si>
  <si>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</si>
  <si>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</si>
  <si>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</si>
  <si>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</si>
  <si>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</si>
  <si>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</si>
  <si>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</si>
  <si>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</si>
  <si>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</si>
  <si>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</si>
  <si>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</si>
  <si>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</si>
  <si>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</si>
  <si>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</si>
  <si>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</si>
  <si>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</si>
  <si>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</si>
  <si>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</si>
  <si>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</si>
  <si>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</si>
  <si>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</si>
  <si>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</si>
  <si>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</si>
  <si>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</si>
  <si>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</si>
  <si>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</si>
  <si>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</si>
  <si>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</si>
  <si>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</si>
  <si>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</si>
  <si>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</si>
  <si>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</si>
  <si>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</si>
  <si>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</si>
  <si>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</si>
  <si>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</si>
  <si>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</si>
  <si>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</si>
  <si>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</si>
  <si>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</si>
  <si>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</si>
  <si>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</si>
  <si>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</si>
  <si>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</si>
  <si>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</si>
  <si>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</si>
  <si>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</si>
  <si>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</si>
  <si>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</si>
  <si>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</si>
  <si>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</si>
  <si>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</si>
  <si>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</si>
  <si>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</si>
  <si>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</si>
  <si>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</si>
  <si>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</si>
  <si>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</si>
  <si>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</si>
  <si>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</si>
  <si>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</si>
  <si>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</si>
  <si>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</si>
  <si>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</si>
  <si>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</si>
  <si>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</si>
  <si>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</si>
  <si>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</si>
  <si>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</si>
  <si>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</si>
  <si>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</si>
  <si>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</si>
  <si>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</si>
  <si>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</si>
  <si>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</si>
  <si>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</si>
  <si>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</si>
  <si>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</si>
  <si>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</si>
  <si>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</si>
  <si>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</si>
  <si>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</si>
  <si>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</si>
  <si>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</si>
  <si>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</si>
  <si>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</si>
  <si>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</si>
  <si>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</si>
  <si>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</si>
  <si>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</si>
  <si>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</si>
  <si>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</si>
  <si>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</si>
  <si>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</si>
  <si>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</si>
  <si>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</si>
  <si>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</si>
  <si>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</si>
  <si>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</si>
  <si>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</si>
  <si>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</si>
  <si>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</si>
  <si>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</si>
  <si>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</si>
  <si>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</si>
  <si>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</si>
  <si>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</si>
  <si>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</si>
  <si>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</si>
  <si>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</si>
  <si>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</si>
  <si>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</si>
  <si>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</si>
  <si>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</si>
  <si>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</si>
  <si>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</si>
  <si>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</si>
  <si>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</si>
  <si>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</si>
  <si>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</si>
  <si>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</si>
  <si>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</si>
  <si>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</si>
  <si>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</si>
  <si>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</si>
  <si>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</si>
  <si>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</si>
  <si>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</si>
  <si>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</si>
  <si>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</si>
  <si>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</si>
  <si>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</si>
  <si>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</si>
  <si>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</si>
  <si>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</si>
  <si>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</si>
  <si>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</si>
  <si>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</si>
  <si>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</si>
  <si>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</si>
  <si>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</si>
  <si>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</si>
  <si>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</si>
  <si>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</si>
  <si>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</si>
  <si>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</si>
  <si>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</si>
  <si>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</si>
  <si>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</si>
  <si>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</si>
  <si>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</si>
  <si>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</si>
  <si>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</si>
  <si>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</si>
  <si>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</si>
  <si>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</si>
  <si>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</si>
  <si>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</si>
  <si>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</si>
  <si>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</si>
  <si>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</si>
  <si>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</si>
  <si>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</si>
  <si>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</si>
  <si>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</si>
  <si>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</si>
  <si>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</si>
  <si>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</si>
  <si>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</si>
  <si>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</si>
  <si>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</si>
  <si>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</si>
  <si>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</si>
  <si>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</si>
  <si>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</si>
  <si>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</si>
  <si>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</si>
  <si>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</si>
  <si>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</si>
  <si>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</si>
  <si>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</si>
  <si>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</si>
  <si>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</si>
  <si>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</si>
  <si>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</si>
  <si>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</si>
  <si>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</si>
  <si>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</si>
  <si>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</si>
  <si>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</si>
  <si>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</si>
  <si>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</si>
  <si>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</si>
  <si>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</si>
  <si>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</si>
  <si>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</si>
  <si>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</si>
  <si>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</si>
  <si>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</si>
  <si>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</si>
  <si>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</si>
  <si>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</si>
  <si>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</si>
  <si>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</si>
  <si>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</si>
  <si>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</si>
  <si>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</si>
  <si>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</si>
  <si>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</si>
  <si>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</si>
  <si>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</si>
  <si>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</si>
  <si>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</si>
  <si>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</si>
  <si>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</si>
  <si>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</si>
  <si>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</si>
  <si>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</si>
  <si>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</si>
  <si>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</si>
  <si>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</si>
  <si>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</si>
  <si>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</si>
  <si>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</si>
  <si>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</si>
  <si>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</si>
  <si>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</si>
  <si>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</si>
  <si>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</si>
  <si>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</si>
  <si>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</si>
  <si>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</si>
  <si>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</si>
  <si>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</si>
  <si>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</si>
  <si>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</si>
  <si>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</si>
  <si>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</si>
  <si>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</si>
  <si>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</si>
  <si>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</si>
  <si>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</si>
  <si>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</si>
  <si>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</si>
  <si>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</si>
  <si>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</si>
  <si>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</si>
  <si>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</si>
  <si>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</si>
  <si>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</si>
  <si>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</si>
  <si>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</si>
  <si>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</si>
  <si>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</si>
  <si>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</si>
  <si>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</si>
  <si>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</si>
  <si>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</si>
  <si>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</si>
  <si>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</si>
  <si>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</si>
  <si>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</si>
  <si>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</si>
  <si>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</si>
  <si>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</si>
  <si>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</si>
  <si>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</si>
  <si>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</si>
  <si>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</si>
  <si>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</si>
  <si>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</si>
  <si>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</si>
  <si>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</si>
  <si>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</si>
  <si>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</si>
  <si>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</si>
  <si>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</si>
  <si>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</si>
  <si>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</si>
  <si>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</si>
  <si>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</si>
  <si>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</si>
  <si>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</si>
  <si>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</si>
  <si>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</si>
  <si>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</si>
  <si>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</si>
  <si>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</si>
  <si>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</si>
  <si>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</si>
  <si>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</si>
  <si>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</si>
  <si>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</si>
  <si>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</si>
  <si>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</si>
  <si>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</si>
  <si>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</si>
  <si>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</si>
  <si>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</si>
  <si>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</si>
  <si>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</si>
  <si>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</si>
  <si>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</si>
  <si>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</si>
  <si>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</si>
  <si>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</si>
  <si>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</si>
  <si>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</si>
  <si>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</si>
  <si>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</si>
  <si>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</si>
  <si>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</si>
  <si>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</si>
  <si>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</si>
  <si>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</si>
  <si>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</si>
  <si>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</si>
  <si>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</si>
  <si>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</si>
  <si>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</si>
  <si>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</si>
  <si>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</si>
  <si>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</si>
  <si>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</si>
  <si>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</si>
  <si>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</si>
  <si>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</si>
  <si>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</si>
  <si>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</si>
  <si>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</si>
  <si>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</si>
  <si>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</si>
  <si>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</si>
  <si>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</si>
  <si>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</si>
  <si>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</si>
  <si>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</si>
  <si>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</si>
  <si>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</si>
  <si>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</si>
  <si>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</si>
  <si>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</si>
  <si>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</si>
  <si>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</si>
  <si>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</si>
  <si>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</si>
  <si>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</si>
  <si>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</si>
  <si>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</si>
  <si>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</si>
  <si>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</si>
  <si>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</si>
  <si>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</si>
  <si>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</si>
  <si>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</si>
  <si>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</si>
  <si>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</si>
  <si>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</si>
  <si>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</si>
  <si>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</si>
  <si>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</si>
  <si>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</si>
  <si>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</si>
  <si>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</si>
  <si>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</si>
  <si>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</si>
  <si>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</si>
  <si>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</si>
  <si>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</si>
  <si>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</si>
  <si>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</si>
  <si>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</si>
  <si>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</si>
  <si>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</si>
  <si>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</si>
  <si>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</si>
  <si>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</si>
  <si>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</si>
  <si>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</si>
  <si>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</si>
  <si>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</si>
  <si>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</si>
  <si>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</si>
  <si>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</si>
  <si>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</si>
  <si>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</si>
  <si>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</si>
  <si>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</si>
  <si>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</si>
  <si>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</si>
  <si>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</si>
  <si>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</si>
  <si>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</si>
  <si>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</si>
  <si>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</si>
  <si>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</si>
  <si>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</si>
  <si>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</si>
  <si>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</si>
  <si>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</si>
  <si>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</si>
  <si>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</si>
  <si>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</si>
  <si>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</si>
  <si>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</si>
  <si>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</si>
  <si>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</si>
  <si>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</si>
  <si>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</si>
  <si>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</si>
  <si>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</si>
  <si>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</si>
  <si>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</si>
  <si>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</si>
  <si>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</si>
  <si>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</si>
  <si>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</si>
  <si>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</si>
  <si>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</si>
  <si>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</si>
  <si>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</si>
  <si>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</si>
  <si>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</si>
  <si>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</si>
  <si>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</si>
  <si>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</si>
  <si>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</si>
  <si>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</si>
  <si>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</si>
  <si>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</si>
  <si>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</si>
  <si>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</si>
  <si>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</si>
  <si>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</si>
  <si>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</si>
  <si>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</si>
  <si>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</si>
  <si>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</si>
  <si>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</si>
  <si>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</si>
  <si>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</si>
  <si>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</si>
  <si>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</si>
  <si>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</si>
  <si>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</si>
  <si>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</si>
  <si>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</si>
  <si>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</si>
  <si>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</si>
  <si>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</si>
  <si>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</si>
  <si>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</si>
  <si>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</si>
  <si>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</si>
  <si>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</si>
  <si>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</si>
  <si>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</si>
  <si>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</si>
  <si>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</si>
  <si>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</si>
  <si>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</si>
  <si>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</si>
  <si>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</si>
  <si>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</si>
  <si>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</si>
  <si>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</si>
  <si>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</si>
  <si>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</si>
  <si>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</si>
  <si>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</si>
  <si>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</si>
  <si>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</si>
  <si>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</si>
  <si>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</si>
  <si>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</si>
  <si>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</si>
  <si>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</si>
  <si>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</si>
  <si>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</si>
  <si>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</si>
  <si>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</si>
  <si>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</si>
  <si>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</si>
  <si>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</si>
  <si>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</si>
  <si>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</si>
  <si>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</si>
  <si>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</si>
  <si>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</si>
  <si>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</si>
  <si>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</si>
  <si>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</si>
  <si>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</si>
  <si>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</si>
  <si>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</si>
  <si>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</si>
  <si>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</si>
  <si>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</si>
  <si>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</si>
  <si>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</si>
  <si>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</si>
  <si>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</si>
  <si>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</si>
  <si>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</si>
  <si>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</si>
  <si>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</si>
  <si>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</si>
  <si>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</si>
  <si>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</si>
  <si>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</si>
  <si>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</si>
  <si>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</si>
  <si>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</si>
  <si>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</si>
  <si>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</si>
  <si>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</si>
  <si>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</si>
  <si>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</si>
  <si>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</si>
  <si>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</si>
  <si>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</si>
  <si>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</si>
  <si>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</si>
  <si>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</si>
  <si>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</si>
  <si>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</si>
  <si>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</si>
  <si>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</si>
  <si>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</si>
  <si>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</si>
  <si>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</si>
  <si>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</si>
  <si>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</si>
  <si>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</si>
  <si>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</si>
  <si>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</si>
  <si>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</si>
  <si>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</si>
  <si>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</si>
  <si>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</si>
  <si>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</si>
  <si>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</si>
  <si>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</si>
  <si>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</si>
  <si>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</si>
  <si>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</si>
  <si>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</si>
  <si>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</si>
  <si>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</si>
  <si>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</si>
  <si>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</si>
  <si>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</si>
  <si>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</si>
  <si>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</si>
  <si>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</si>
  <si>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</si>
  <si>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</si>
  <si>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</si>
  <si>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</si>
  <si>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</si>
  <si>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</si>
  <si>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</si>
  <si>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</si>
  <si>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</si>
  <si>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</si>
  <si>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</si>
  <si>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</si>
  <si>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</si>
  <si>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</si>
  <si>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</si>
  <si>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</si>
  <si>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</si>
  <si>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</si>
  <si>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</si>
  <si>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</si>
  <si>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</si>
  <si>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</si>
  <si>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</si>
  <si>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</si>
  <si>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</si>
  <si>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</si>
  <si>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</si>
  <si>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</si>
  <si>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</si>
  <si>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</si>
  <si>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</si>
  <si>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</si>
  <si>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</si>
  <si>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</si>
  <si>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</si>
  <si>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</si>
  <si>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</si>
  <si>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</si>
  <si>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</si>
  <si>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</si>
  <si>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</si>
  <si>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</si>
  <si>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</si>
  <si>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</si>
  <si>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</si>
  <si>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</si>
  <si>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</si>
  <si>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</si>
  <si>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</si>
  <si>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</si>
  <si>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</si>
  <si>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</si>
  <si>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</si>
  <si>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</si>
  <si>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</si>
  <si>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</si>
  <si>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</si>
  <si>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</si>
  <si>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</si>
  <si>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</si>
  <si>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</si>
  <si>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</si>
  <si>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</si>
  <si>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</si>
  <si>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</si>
  <si>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</si>
  <si>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</si>
  <si>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</si>
  <si>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</si>
  <si>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</si>
  <si>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</si>
  <si>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</si>
  <si>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</si>
  <si>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</si>
  <si>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</si>
  <si>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</si>
  <si>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</si>
  <si>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</si>
  <si>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</si>
  <si>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</si>
  <si>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</si>
  <si>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</si>
  <si>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</si>
  <si>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</si>
  <si>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</si>
  <si>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</si>
  <si>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</si>
  <si>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</si>
  <si>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</si>
  <si>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</si>
  <si>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</si>
  <si>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ver. 2025-06-19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</si>
</sst>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6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rgb="FFFDEADA"/>
        <bgColor rgb="FFFFFFFF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8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0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0" fontId="6" fillId="0" borderId="0" xfId="79" quotePrefix="1" applyProtection="1"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5" xfId="79" applyNumberFormat="1" applyBorder="1" applyAlignment="1" applyProtection="1">
      <alignment horizontal="center" vertical="center"/>
      <protection hidden="1"/>
    </xf>
    <xf numFmtId="3" fontId="6" fillId="0" borderId="36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7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8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9" xfId="79" applyNumberFormat="1" applyBorder="1" applyAlignment="1" applyProtection="1">
      <alignment horizontal="center" vertical="center"/>
      <protection hidden="1"/>
    </xf>
    <xf numFmtId="0" fontId="12" fillId="0" borderId="40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12" fillId="0" borderId="0" xfId="79" applyFont="1" applyAlignment="1">
      <alignment horizontal="right" vertical="center" indent="1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41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3" fontId="6" fillId="22" borderId="43" xfId="0" applyNumberFormat="1" applyFont="1" applyFill="1" applyBorder="1" applyAlignment="1" applyProtection="1">
      <alignment horizontal="center" vertical="center"/>
      <protection locked="0"/>
    </xf>
    <xf numFmtId="3" fontId="6" fillId="22" borderId="44" xfId="0" applyNumberFormat="1" applyFont="1" applyFill="1" applyBorder="1" applyAlignment="1" applyProtection="1">
      <alignment horizontal="center" vertical="center"/>
      <protection locked="0"/>
    </xf>
    <xf numFmtId="0" fontId="6" fillId="22" borderId="44" xfId="0" applyFont="1" applyFill="1" applyBorder="1" applyAlignment="1" applyProtection="1">
      <alignment horizontal="center" vertical="center"/>
      <protection locked="0"/>
    </xf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3" borderId="0" xfId="4" applyFill="1"/>
    <xf numFmtId="0" fontId="5" fillId="23" borderId="2" xfId="4" applyFill="1" applyBorder="1"/>
    <xf numFmtId="0" fontId="5" fillId="23" borderId="0" xfId="4" applyFill="1" applyAlignment="1">
      <alignment horizontal="center"/>
    </xf>
    <xf numFmtId="0" fontId="5" fillId="23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4" borderId="2" xfId="4" applyFill="1" applyBorder="1"/>
    <xf numFmtId="0" fontId="3" fillId="24" borderId="2" xfId="4" applyFont="1" applyFill="1" applyBorder="1"/>
    <xf numFmtId="0" fontId="5" fillId="24" borderId="0" xfId="4" applyFill="1"/>
    <xf numFmtId="0" fontId="5" fillId="24" borderId="2" xfId="4" applyFill="1" applyBorder="1" applyAlignment="1">
      <alignment horizontal="center"/>
    </xf>
    <xf numFmtId="0" fontId="0" fillId="25" borderId="2" xfId="0" applyFill="1" applyBorder="1" applyAlignment="1">
      <alignment horizontal="center" vertical="center"/>
    </xf>
    <xf numFmtId="0" fontId="5" fillId="25" borderId="0" xfId="4" applyFill="1"/>
    <xf numFmtId="0" fontId="5" fillId="25" borderId="2" xfId="4" applyFill="1" applyBorder="1"/>
    <xf numFmtId="0" fontId="5" fillId="25" borderId="2" xfId="4" applyFill="1" applyBorder="1" applyAlignment="1">
      <alignment horizontal="center"/>
    </xf>
    <xf numFmtId="0" fontId="3" fillId="25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31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5" xfId="79" applyNumberFormat="1" applyBorder="1" applyAlignment="1" applyProtection="1">
      <alignment horizontal="center" vertical="center"/>
      <protection hidden="1"/>
    </xf>
    <xf numFmtId="167" fontId="6" fillId="0" borderId="46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31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30" xfId="4" applyFont="1" applyBorder="1" applyAlignment="1">
      <alignment horizontal="center"/>
    </xf>
    <xf numFmtId="0" fontId="66" fillId="0" borderId="31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30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31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31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3" xfId="6" applyFont="1" applyFill="1" applyBorder="1" applyAlignment="1" applyProtection="1">
      <alignment vertical="center"/>
      <protection hidden="1"/>
    </xf>
    <xf numFmtId="0" fontId="59" fillId="18" borderId="34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2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2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7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9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9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64" fillId="15" borderId="29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27" xfId="4" applyFont="1" applyFill="1" applyBorder="1" applyAlignment="1">
      <alignment horizontal="left" vertical="center" wrapText="1"/>
    </xf>
    <xf numFmtId="0" fontId="9" fillId="14" borderId="28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4" fillId="0" borderId="22" xfId="0" applyFont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59" fillId="17" borderId="6" xfId="6" applyFont="1" applyFill="1" applyBorder="1" applyAlignment="1" applyProtection="1">
      <alignment horizontal="left" vertical="center" wrapText="1"/>
      <protection hidden="1"/>
    </xf>
    <xf numFmtId="0" fontId="59" fillId="17" borderId="0" xfId="6" applyFont="1" applyFill="1" applyBorder="1" applyAlignment="1" applyProtection="1">
      <alignment horizontal="left" vertical="center" wrapText="1"/>
      <protection hidden="1"/>
    </xf>
    <xf numFmtId="0" fontId="59" fillId="17" borderId="3" xfId="6" applyFont="1" applyFill="1" applyBorder="1" applyAlignment="1" applyProtection="1">
      <alignment horizontal="left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center" wrapText="1"/>
      <protection hidden="1"/>
    </xf>
    <xf numFmtId="0" fontId="59" fillId="18" borderId="34" xfId="6" applyFont="1" applyFill="1" applyBorder="1" applyAlignment="1" applyProtection="1">
      <alignment horizontal="center" vertical="center" wrapText="1"/>
      <protection hidden="1"/>
    </xf>
    <xf numFmtId="0" fontId="59" fillId="18" borderId="33" xfId="6" applyFont="1" applyFill="1" applyBorder="1" applyAlignment="1" applyProtection="1">
      <alignment horizontal="center" vertical="top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59" fillId="18" borderId="33" xfId="6" applyFont="1" applyFill="1" applyBorder="1" applyAlignment="1" applyProtection="1">
      <alignment horizontal="center" vertical="top" wrapText="1"/>
      <protection hidden="1"/>
    </xf>
    <xf numFmtId="0" fontId="59" fillId="18" borderId="34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9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3" xfId="4" applyFont="1" applyBorder="1" applyAlignment="1">
      <alignment horizontal="left"/>
    </xf>
    <xf numFmtId="0" fontId="78" fillId="0" borderId="34" xfId="4" applyFont="1" applyBorder="1" applyAlignment="1">
      <alignment horizontal="left"/>
    </xf>
    <xf numFmtId="0" fontId="59" fillId="19" borderId="32" xfId="6" applyFont="1" applyFill="1" applyBorder="1" applyAlignment="1" applyProtection="1">
      <alignment horizontal="center" vertical="center" wrapText="1"/>
      <protection hidden="1"/>
    </xf>
    <xf numFmtId="0" fontId="59" fillId="19" borderId="33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64" fillId="10" borderId="29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9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2" xfId="6" applyFont="1" applyFill="1" applyBorder="1" applyAlignment="1" applyProtection="1">
      <alignment horizontal="center" vertical="center"/>
      <protection hidden="1"/>
    </xf>
    <xf numFmtId="0" fontId="53" fillId="7" borderId="33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43" fillId="0" borderId="0" xfId="79" applyFont="1" applyAlignment="1">
      <alignment horizontal="center"/>
    </xf>
    <xf numFmtId="0" fontId="21" fillId="10" borderId="0" xfId="79" applyFont="1" applyFill="1" applyAlignment="1">
      <alignment horizontal="center" vertical="top" wrapText="1"/>
    </xf>
    <xf numFmtId="0" fontId="21" fillId="10" borderId="0" xfId="79" applyFont="1" applyFill="1" applyAlignment="1">
      <alignment horizontal="left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4" fontId="6" fillId="0" borderId="0" xfId="79" applyNumberFormat="1"/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72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microsoft.com/office/2022/10/relationships/richValueRel" Target="richData/richValueRel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8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" Target="richData/rdrichvalue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eetMetadata" Target="metadata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'Oaza II'!barva_8"/><Relationship Id="rId21" Type="http://schemas.openxmlformats.org/officeDocument/2006/relationships/hyperlink" Target="#Lux!barva"/><Relationship Id="rId42" Type="http://schemas.openxmlformats.org/officeDocument/2006/relationships/hyperlink" Target="#Rex!barva_8"/><Relationship Id="rId47" Type="http://schemas.openxmlformats.org/officeDocument/2006/relationships/image" Target="../media/image24.png"/><Relationship Id="rId63" Type="http://schemas.openxmlformats.org/officeDocument/2006/relationships/hyperlink" Target="#Beta!barva_8"/><Relationship Id="rId68" Type="http://schemas.openxmlformats.org/officeDocument/2006/relationships/hyperlink" Target="#'Fiona II'!A1"/><Relationship Id="rId16" Type="http://schemas.openxmlformats.org/officeDocument/2006/relationships/image" Target="../media/image9.png"/><Relationship Id="rId11" Type="http://schemas.openxmlformats.org/officeDocument/2006/relationships/hyperlink" Target="#Ergo!barva_8"/><Relationship Id="rId24" Type="http://schemas.openxmlformats.org/officeDocument/2006/relationships/image" Target="../media/image13.png"/><Relationship Id="rId32" Type="http://schemas.openxmlformats.org/officeDocument/2006/relationships/hyperlink" Target="#Julie!A1"/><Relationship Id="rId37" Type="http://schemas.openxmlformats.org/officeDocument/2006/relationships/image" Target="../media/image20.png"/><Relationship Id="rId40" Type="http://schemas.openxmlformats.org/officeDocument/2006/relationships/hyperlink" Target="#Prosper!A1"/><Relationship Id="rId45" Type="http://schemas.openxmlformats.org/officeDocument/2006/relationships/hyperlink" Target="#'Arte GM r&#225;m'!A1"/><Relationship Id="rId53" Type="http://schemas.openxmlformats.org/officeDocument/2006/relationships/hyperlink" Target="#'Rekord (bezr&#225;mov&#253;)'!barva_7"/><Relationship Id="rId58" Type="http://schemas.openxmlformats.org/officeDocument/2006/relationships/hyperlink" Target="#'Era (r&#225;mov&#253;)'!barva_7"/><Relationship Id="rId66" Type="http://schemas.openxmlformats.org/officeDocument/2006/relationships/hyperlink" Target="#Tytan!barva_8"/><Relationship Id="rId74" Type="http://schemas.openxmlformats.org/officeDocument/2006/relationships/hyperlink" Target="#Vitara!A1"/><Relationship Id="rId79" Type="http://schemas.openxmlformats.org/officeDocument/2006/relationships/image" Target="../media/image39.emf"/><Relationship Id="rId5" Type="http://schemas.openxmlformats.org/officeDocument/2006/relationships/hyperlink" Target="#'Factor 18 II'!A1"/><Relationship Id="rId61" Type="http://schemas.openxmlformats.org/officeDocument/2006/relationships/hyperlink" Target="#Orient!A1"/><Relationship Id="rId19" Type="http://schemas.openxmlformats.org/officeDocument/2006/relationships/hyperlink" Target="#'Alfa II'!barva_8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'Romeo II'!A1"/><Relationship Id="rId35" Type="http://schemas.openxmlformats.org/officeDocument/2006/relationships/image" Target="../media/image19.png"/><Relationship Id="rId43" Type="http://schemas.openxmlformats.org/officeDocument/2006/relationships/image" Target="../media/image23.png"/><Relationship Id="rId48" Type="http://schemas.openxmlformats.org/officeDocument/2006/relationships/hyperlink" Target="#'Comfort II'!A1"/><Relationship Id="rId56" Type="http://schemas.openxmlformats.org/officeDocument/2006/relationships/hyperlink" Target="#'Era (bezr&#225;mov&#253;)'!barva_7"/><Relationship Id="rId64" Type="http://schemas.openxmlformats.org/officeDocument/2006/relationships/hyperlink" Target="#Universal!A1"/><Relationship Id="rId69" Type="http://schemas.openxmlformats.org/officeDocument/2006/relationships/image" Target="../media/image34.png"/><Relationship Id="rId77" Type="http://schemas.openxmlformats.org/officeDocument/2006/relationships/hyperlink" Target="#'Arte GM bezr&#225;m'!barva"/><Relationship Id="rId8" Type="http://schemas.openxmlformats.org/officeDocument/2006/relationships/image" Target="../media/image5.jpeg"/><Relationship Id="rId51" Type="http://schemas.openxmlformats.org/officeDocument/2006/relationships/image" Target="../media/image26.png"/><Relationship Id="rId72" Type="http://schemas.openxmlformats.org/officeDocument/2006/relationships/hyperlink" Target="#Lynx!A1"/><Relationship Id="rId3" Type="http://schemas.openxmlformats.org/officeDocument/2006/relationships/hyperlink" Target="#Gemini!A1"/><Relationship Id="rId12" Type="http://schemas.openxmlformats.org/officeDocument/2006/relationships/image" Target="../media/image7.jpeg"/><Relationship Id="rId17" Type="http://schemas.openxmlformats.org/officeDocument/2006/relationships/hyperlink" Target="#Polo!barva_7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Fox!A1"/><Relationship Id="rId46" Type="http://schemas.openxmlformats.org/officeDocument/2006/relationships/hyperlink" Target="#'Minicomfort II'!A1"/><Relationship Id="rId59" Type="http://schemas.openxmlformats.org/officeDocument/2006/relationships/hyperlink" Target="#Elegant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jpeg"/><Relationship Id="rId54" Type="http://schemas.openxmlformats.org/officeDocument/2006/relationships/image" Target="../media/image28.png"/><Relationship Id="rId62" Type="http://schemas.openxmlformats.org/officeDocument/2006/relationships/image" Target="../media/image31.emf"/><Relationship Id="rId70" Type="http://schemas.openxmlformats.org/officeDocument/2006/relationships/hyperlink" Target="#'Focus II'!barva_8"/><Relationship Id="rId75" Type="http://schemas.openxmlformats.org/officeDocument/2006/relationships/image" Target="../media/image37.png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Master!barva_7"/><Relationship Id="rId23" Type="http://schemas.openxmlformats.org/officeDocument/2006/relationships/hyperlink" Target="#Faworyt!A1"/><Relationship Id="rId28" Type="http://schemas.openxmlformats.org/officeDocument/2006/relationships/hyperlink" Target="#Beta!A1"/><Relationship Id="rId36" Type="http://schemas.openxmlformats.org/officeDocument/2006/relationships/hyperlink" Target="#Pax!barva"/><Relationship Id="rId49" Type="http://schemas.openxmlformats.org/officeDocument/2006/relationships/image" Target="../media/image25.png"/><Relationship Id="rId57" Type="http://schemas.openxmlformats.org/officeDocument/2006/relationships/image" Target="../media/image29.png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Porto GM r&#225;m'!A1"/><Relationship Id="rId52" Type="http://schemas.openxmlformats.org/officeDocument/2006/relationships/image" Target="../media/image27.jpeg"/><Relationship Id="rId60" Type="http://schemas.openxmlformats.org/officeDocument/2006/relationships/image" Target="../media/image30.emf"/><Relationship Id="rId65" Type="http://schemas.openxmlformats.org/officeDocument/2006/relationships/image" Target="../media/image32.jpeg"/><Relationship Id="rId73" Type="http://schemas.openxmlformats.org/officeDocument/2006/relationships/image" Target="../media/image36.png"/><Relationship Id="rId78" Type="http://schemas.openxmlformats.org/officeDocument/2006/relationships/image" Target="../media/image38.jpg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Fala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Karat!barva_6"/><Relationship Id="rId50" Type="http://schemas.openxmlformats.org/officeDocument/2006/relationships/hyperlink" Target="#'Unicomfort II'!A1"/><Relationship Id="rId55" Type="http://schemas.openxmlformats.org/officeDocument/2006/relationships/hyperlink" Target="#'Rekord (r&#225;mov&#253;)'!barva_7"/><Relationship Id="rId76" Type="http://schemas.openxmlformats.org/officeDocument/2006/relationships/hyperlink" Target="#'Prosper bezr&#225;m'!A1"/><Relationship Id="rId7" Type="http://schemas.openxmlformats.org/officeDocument/2006/relationships/hyperlink" Target="#Victoria!A1"/><Relationship Id="rId71" Type="http://schemas.openxmlformats.org/officeDocument/2006/relationships/image" Target="../media/image35.jpeg"/><Relationship Id="rId2" Type="http://schemas.openxmlformats.org/officeDocument/2006/relationships/image" Target="../media/image2.png"/><Relationship Id="rId29" Type="http://schemas.openxmlformats.org/officeDocument/2006/relationships/image" Target="../media/image16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6.png"/><Relationship Id="rId2" Type="http://schemas.openxmlformats.org/officeDocument/2006/relationships/image" Target="../media/image4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7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58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9.png"/><Relationship Id="rId4" Type="http://schemas.openxmlformats.org/officeDocument/2006/relationships/image" Target="../media/image48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0.png"/><Relationship Id="rId6" Type="http://schemas.openxmlformats.org/officeDocument/2006/relationships/image" Target="../media/image38.jpg"/><Relationship Id="rId5" Type="http://schemas.openxmlformats.org/officeDocument/2006/relationships/image" Target="../media/image63.png"/><Relationship Id="rId4" Type="http://schemas.openxmlformats.org/officeDocument/2006/relationships/image" Target="../media/image6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61.png"/><Relationship Id="rId1" Type="http://schemas.openxmlformats.org/officeDocument/2006/relationships/image" Target="../media/image64.png"/><Relationship Id="rId6" Type="http://schemas.openxmlformats.org/officeDocument/2006/relationships/image" Target="../media/image38.jpg"/><Relationship Id="rId5" Type="http://schemas.openxmlformats.org/officeDocument/2006/relationships/image" Target="../media/image66.png"/><Relationship Id="rId4" Type="http://schemas.openxmlformats.org/officeDocument/2006/relationships/image" Target="../media/image6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67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68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23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1.png"/><Relationship Id="rId4" Type="http://schemas.openxmlformats.org/officeDocument/2006/relationships/image" Target="../media/image7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4.png"/><Relationship Id="rId4" Type="http://schemas.openxmlformats.org/officeDocument/2006/relationships/image" Target="../media/image7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5" Type="http://schemas.openxmlformats.org/officeDocument/2006/relationships/image" Target="../media/image38.jpg"/><Relationship Id="rId4" Type="http://schemas.openxmlformats.org/officeDocument/2006/relationships/image" Target="../media/image44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69.png"/><Relationship Id="rId4" Type="http://schemas.openxmlformats.org/officeDocument/2006/relationships/image" Target="../media/image7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72.jpe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75.png"/><Relationship Id="rId4" Type="http://schemas.openxmlformats.org/officeDocument/2006/relationships/image" Target="../media/image70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1.png"/><Relationship Id="rId6" Type="http://schemas.openxmlformats.org/officeDocument/2006/relationships/image" Target="../media/image38.jpg"/><Relationship Id="rId5" Type="http://schemas.openxmlformats.org/officeDocument/2006/relationships/image" Target="../media/image78.png"/><Relationship Id="rId4" Type="http://schemas.openxmlformats.org/officeDocument/2006/relationships/image" Target="../media/image77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3.png"/><Relationship Id="rId6" Type="http://schemas.openxmlformats.org/officeDocument/2006/relationships/image" Target="../media/image38.jpg"/><Relationship Id="rId5" Type="http://schemas.openxmlformats.org/officeDocument/2006/relationships/image" Target="../media/image79.png"/><Relationship Id="rId4" Type="http://schemas.openxmlformats.org/officeDocument/2006/relationships/image" Target="../media/image7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3.jpeg"/><Relationship Id="rId6" Type="http://schemas.openxmlformats.org/officeDocument/2006/relationships/image" Target="../media/image38.jpg"/><Relationship Id="rId5" Type="http://schemas.openxmlformats.org/officeDocument/2006/relationships/image" Target="../media/image80.png"/><Relationship Id="rId4" Type="http://schemas.openxmlformats.org/officeDocument/2006/relationships/image" Target="../media/image77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5.png"/><Relationship Id="rId6" Type="http://schemas.openxmlformats.org/officeDocument/2006/relationships/image" Target="../media/image38.jpg"/><Relationship Id="rId5" Type="http://schemas.openxmlformats.org/officeDocument/2006/relationships/image" Target="../media/image81.png"/><Relationship Id="rId4" Type="http://schemas.openxmlformats.org/officeDocument/2006/relationships/image" Target="../media/image77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82.jpeg"/><Relationship Id="rId6" Type="http://schemas.openxmlformats.org/officeDocument/2006/relationships/image" Target="../media/image38.jpg"/><Relationship Id="rId5" Type="http://schemas.openxmlformats.org/officeDocument/2006/relationships/image" Target="../media/image83.png"/><Relationship Id="rId4" Type="http://schemas.openxmlformats.org/officeDocument/2006/relationships/image" Target="../media/image77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76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86.png"/><Relationship Id="rId4" Type="http://schemas.openxmlformats.org/officeDocument/2006/relationships/image" Target="../media/image8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16.png"/><Relationship Id="rId6" Type="http://schemas.openxmlformats.org/officeDocument/2006/relationships/image" Target="../media/image38.jpg"/><Relationship Id="rId5" Type="http://schemas.openxmlformats.org/officeDocument/2006/relationships/image" Target="../media/image87.png"/><Relationship Id="rId4" Type="http://schemas.openxmlformats.org/officeDocument/2006/relationships/image" Target="../media/image8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35.jpeg"/><Relationship Id="rId1" Type="http://schemas.openxmlformats.org/officeDocument/2006/relationships/image" Target="../media/image88.png"/><Relationship Id="rId6" Type="http://schemas.openxmlformats.org/officeDocument/2006/relationships/image" Target="../media/image38.jpg"/><Relationship Id="rId5" Type="http://schemas.openxmlformats.org/officeDocument/2006/relationships/image" Target="../media/image85.png"/><Relationship Id="rId4" Type="http://schemas.openxmlformats.org/officeDocument/2006/relationships/image" Target="../media/image7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8.png"/><Relationship Id="rId4" Type="http://schemas.openxmlformats.org/officeDocument/2006/relationships/image" Target="../media/image47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7.jpeg"/><Relationship Id="rId6" Type="http://schemas.openxmlformats.org/officeDocument/2006/relationships/image" Target="../media/image38.jpg"/><Relationship Id="rId5" Type="http://schemas.openxmlformats.org/officeDocument/2006/relationships/image" Target="../media/image89.png"/><Relationship Id="rId4" Type="http://schemas.openxmlformats.org/officeDocument/2006/relationships/image" Target="../media/image8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34.png"/><Relationship Id="rId6" Type="http://schemas.openxmlformats.org/officeDocument/2006/relationships/image" Target="../media/image38.jpg"/><Relationship Id="rId5" Type="http://schemas.openxmlformats.org/officeDocument/2006/relationships/image" Target="../media/image90.png"/><Relationship Id="rId4" Type="http://schemas.openxmlformats.org/officeDocument/2006/relationships/image" Target="../media/image8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41.png"/><Relationship Id="rId1" Type="http://schemas.openxmlformats.org/officeDocument/2006/relationships/image" Target="../media/image91.jpeg"/><Relationship Id="rId6" Type="http://schemas.openxmlformats.org/officeDocument/2006/relationships/image" Target="../media/image38.jpg"/><Relationship Id="rId5" Type="http://schemas.openxmlformats.org/officeDocument/2006/relationships/image" Target="../media/image92.png"/><Relationship Id="rId4" Type="http://schemas.openxmlformats.org/officeDocument/2006/relationships/image" Target="../media/image77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30.emf"/><Relationship Id="rId6" Type="http://schemas.openxmlformats.org/officeDocument/2006/relationships/image" Target="../media/image38.jpg"/><Relationship Id="rId5" Type="http://schemas.openxmlformats.org/officeDocument/2006/relationships/image" Target="../media/image94.png"/><Relationship Id="rId4" Type="http://schemas.openxmlformats.org/officeDocument/2006/relationships/image" Target="../media/image9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41.png"/><Relationship Id="rId1" Type="http://schemas.openxmlformats.org/officeDocument/2006/relationships/image" Target="../media/image24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5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5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7.png"/><Relationship Id="rId2" Type="http://schemas.openxmlformats.org/officeDocument/2006/relationships/image" Target="../media/image41.png"/><Relationship Id="rId1" Type="http://schemas.openxmlformats.org/officeDocument/2006/relationships/image" Target="../media/image26.png"/><Relationship Id="rId6" Type="http://schemas.openxmlformats.org/officeDocument/2006/relationships/image" Target="../media/image38.jpg"/><Relationship Id="rId5" Type="http://schemas.openxmlformats.org/officeDocument/2006/relationships/image" Target="../media/image96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9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3.png"/><Relationship Id="rId2" Type="http://schemas.openxmlformats.org/officeDocument/2006/relationships/image" Target="../media/image100.png"/><Relationship Id="rId1" Type="http://schemas.openxmlformats.org/officeDocument/2006/relationships/image" Target="../media/image99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4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2" Type="http://schemas.openxmlformats.org/officeDocument/2006/relationships/image" Target="../media/image100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102.png"/><Relationship Id="rId4" Type="http://schemas.openxmlformats.org/officeDocument/2006/relationships/image" Target="../media/image10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7.png"/><Relationship Id="rId4" Type="http://schemas.openxmlformats.org/officeDocument/2006/relationships/image" Target="../media/image48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103.png"/><Relationship Id="rId1" Type="http://schemas.openxmlformats.org/officeDocument/2006/relationships/image" Target="../media/image106.png"/><Relationship Id="rId6" Type="http://schemas.openxmlformats.org/officeDocument/2006/relationships/image" Target="../media/image38.jpg"/><Relationship Id="rId5" Type="http://schemas.openxmlformats.org/officeDocument/2006/relationships/image" Target="../media/image41.png"/><Relationship Id="rId4" Type="http://schemas.openxmlformats.org/officeDocument/2006/relationships/image" Target="../media/image10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8.png"/><Relationship Id="rId7" Type="http://schemas.openxmlformats.org/officeDocument/2006/relationships/image" Target="../media/image112.png"/><Relationship Id="rId2" Type="http://schemas.openxmlformats.org/officeDocument/2006/relationships/image" Target="../media/image107.png"/><Relationship Id="rId1" Type="http://schemas.openxmlformats.org/officeDocument/2006/relationships/hyperlink" Target="#profil!A1"/><Relationship Id="rId6" Type="http://schemas.openxmlformats.org/officeDocument/2006/relationships/image" Target="../media/image111.png"/><Relationship Id="rId5" Type="http://schemas.openxmlformats.org/officeDocument/2006/relationships/image" Target="../media/image110.png"/><Relationship Id="rId4" Type="http://schemas.openxmlformats.org/officeDocument/2006/relationships/image" Target="../media/image109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4.png"/><Relationship Id="rId7" Type="http://schemas.openxmlformats.org/officeDocument/2006/relationships/image" Target="../media/image118.png"/><Relationship Id="rId2" Type="http://schemas.openxmlformats.org/officeDocument/2006/relationships/image" Target="../media/image113.png"/><Relationship Id="rId1" Type="http://schemas.openxmlformats.org/officeDocument/2006/relationships/hyperlink" Target="#profil!A1"/><Relationship Id="rId6" Type="http://schemas.openxmlformats.org/officeDocument/2006/relationships/image" Target="../media/image117.png"/><Relationship Id="rId5" Type="http://schemas.openxmlformats.org/officeDocument/2006/relationships/image" Target="../media/image116.png"/><Relationship Id="rId4" Type="http://schemas.openxmlformats.org/officeDocument/2006/relationships/image" Target="../media/image115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0.emf"/><Relationship Id="rId7" Type="http://schemas.openxmlformats.org/officeDocument/2006/relationships/image" Target="../media/image124.png"/><Relationship Id="rId2" Type="http://schemas.openxmlformats.org/officeDocument/2006/relationships/image" Target="../media/image119.emf"/><Relationship Id="rId1" Type="http://schemas.openxmlformats.org/officeDocument/2006/relationships/hyperlink" Target="#profil!A1"/><Relationship Id="rId6" Type="http://schemas.openxmlformats.org/officeDocument/2006/relationships/image" Target="../media/image123.png"/><Relationship Id="rId5" Type="http://schemas.openxmlformats.org/officeDocument/2006/relationships/image" Target="../media/image122.emf"/><Relationship Id="rId4" Type="http://schemas.openxmlformats.org/officeDocument/2006/relationships/image" Target="../media/image121.emf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4" Type="http://schemas.openxmlformats.org/officeDocument/2006/relationships/image" Target="../media/image127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5.png"/><Relationship Id="rId3" Type="http://schemas.openxmlformats.org/officeDocument/2006/relationships/image" Target="../media/image130.png"/><Relationship Id="rId7" Type="http://schemas.openxmlformats.org/officeDocument/2006/relationships/image" Target="../media/image134.png"/><Relationship Id="rId2" Type="http://schemas.openxmlformats.org/officeDocument/2006/relationships/image" Target="../media/image129.png"/><Relationship Id="rId1" Type="http://schemas.openxmlformats.org/officeDocument/2006/relationships/image" Target="../media/image128.png"/><Relationship Id="rId6" Type="http://schemas.openxmlformats.org/officeDocument/2006/relationships/image" Target="../media/image133.png"/><Relationship Id="rId5" Type="http://schemas.openxmlformats.org/officeDocument/2006/relationships/image" Target="../media/image132.png"/><Relationship Id="rId4" Type="http://schemas.openxmlformats.org/officeDocument/2006/relationships/image" Target="../media/image131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7.png"/><Relationship Id="rId2" Type="http://schemas.openxmlformats.org/officeDocument/2006/relationships/image" Target="../media/image136.png"/><Relationship Id="rId1" Type="http://schemas.openxmlformats.org/officeDocument/2006/relationships/hyperlink" Target="#profil!A1"/><Relationship Id="rId5" Type="http://schemas.openxmlformats.org/officeDocument/2006/relationships/image" Target="../media/image139.png"/><Relationship Id="rId4" Type="http://schemas.openxmlformats.org/officeDocument/2006/relationships/image" Target="../media/image138.png"/></Relationships>
</file>

<file path=xl/drawings/_rels/drawing4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7.png"/><Relationship Id="rId13" Type="http://schemas.openxmlformats.org/officeDocument/2006/relationships/image" Target="../media/image152.jpeg"/><Relationship Id="rId3" Type="http://schemas.openxmlformats.org/officeDocument/2006/relationships/image" Target="../media/image142.emf"/><Relationship Id="rId7" Type="http://schemas.openxmlformats.org/officeDocument/2006/relationships/image" Target="../media/image146.png"/><Relationship Id="rId12" Type="http://schemas.openxmlformats.org/officeDocument/2006/relationships/image" Target="../media/image151.jpeg"/><Relationship Id="rId2" Type="http://schemas.openxmlformats.org/officeDocument/2006/relationships/image" Target="../media/image141.png"/><Relationship Id="rId1" Type="http://schemas.openxmlformats.org/officeDocument/2006/relationships/image" Target="../media/image140.png"/><Relationship Id="rId6" Type="http://schemas.openxmlformats.org/officeDocument/2006/relationships/image" Target="../media/image145.png"/><Relationship Id="rId11" Type="http://schemas.openxmlformats.org/officeDocument/2006/relationships/image" Target="../media/image150.png"/><Relationship Id="rId5" Type="http://schemas.openxmlformats.org/officeDocument/2006/relationships/image" Target="../media/image144.png"/><Relationship Id="rId10" Type="http://schemas.openxmlformats.org/officeDocument/2006/relationships/image" Target="../media/image149.png"/><Relationship Id="rId4" Type="http://schemas.openxmlformats.org/officeDocument/2006/relationships/image" Target="../media/image143.emf"/><Relationship Id="rId9" Type="http://schemas.openxmlformats.org/officeDocument/2006/relationships/image" Target="../media/image148.png"/><Relationship Id="rId14" Type="http://schemas.openxmlformats.org/officeDocument/2006/relationships/image" Target="../media/image15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36.png"/><Relationship Id="rId4" Type="http://schemas.openxmlformats.org/officeDocument/2006/relationships/image" Target="../media/image49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1.png"/><Relationship Id="rId4" Type="http://schemas.openxmlformats.org/officeDocument/2006/relationships/image" Target="../media/image4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5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52.png"/><Relationship Id="rId4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7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6" Type="http://schemas.openxmlformats.org/officeDocument/2006/relationships/image" Target="../media/image38.jpg"/><Relationship Id="rId5" Type="http://schemas.openxmlformats.org/officeDocument/2006/relationships/image" Target="../media/image49.png"/><Relationship Id="rId4" Type="http://schemas.openxmlformats.org/officeDocument/2006/relationships/image" Target="../media/image5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34785</xdr:colOff>
      <xdr:row>35</xdr:row>
      <xdr:rowOff>116289</xdr:rowOff>
    </xdr:from>
    <xdr:to>
      <xdr:col>9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60624</xdr:colOff>
      <xdr:row>35</xdr:row>
      <xdr:rowOff>58971</xdr:rowOff>
    </xdr:from>
    <xdr:to>
      <xdr:col>7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144780</xdr:colOff>
      <xdr:row>40</xdr:row>
      <xdr:rowOff>45720</xdr:rowOff>
    </xdr:from>
    <xdr:to>
      <xdr:col>5</xdr:col>
      <xdr:colOff>701992</xdr:colOff>
      <xdr:row>40</xdr:row>
      <xdr:rowOff>1197292</xdr:rowOff>
    </xdr:to>
    <xdr:pic>
      <xdr:nvPicPr>
        <xdr:cNvPr id="16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40430" y="12447270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106680</xdr:colOff>
      <xdr:row>35</xdr:row>
      <xdr:rowOff>60960</xdr:rowOff>
    </xdr:from>
    <xdr:to>
      <xdr:col>3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</xdr:colOff>
      <xdr:row>35</xdr:row>
      <xdr:rowOff>45720</xdr:rowOff>
    </xdr:from>
    <xdr:to>
      <xdr:col>1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91441</xdr:rowOff>
    </xdr:from>
    <xdr:to>
      <xdr:col>5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3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124609</xdr:colOff>
      <xdr:row>40</xdr:row>
      <xdr:rowOff>76200</xdr:rowOff>
    </xdr:from>
    <xdr:ext cx="609600" cy="1234440"/>
    <xdr:pic>
      <xdr:nvPicPr>
        <xdr:cNvPr id="48" name="Obrázek 26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A69B8610-25E5-4DDF-9AB6-1ACB64474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0162" y="1284194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68580</xdr:colOff>
      <xdr:row>40</xdr:row>
      <xdr:rowOff>68580</xdr:rowOff>
    </xdr:from>
    <xdr:ext cx="609600" cy="1234440"/>
    <xdr:pic>
      <xdr:nvPicPr>
        <xdr:cNvPr id="49" name="Obrázek 2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E3D5EB6A-2983-4BC0-8861-9046CCABD3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5074" y="12834321"/>
          <a:ext cx="60960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13</xdr:col>
      <xdr:colOff>7620</xdr:colOff>
      <xdr:row>35</xdr:row>
      <xdr:rowOff>25101</xdr:rowOff>
    </xdr:from>
    <xdr:to>
      <xdr:col>13</xdr:col>
      <xdr:colOff>777240</xdr:colOff>
      <xdr:row>35</xdr:row>
      <xdr:rowOff>1305261</xdr:rowOff>
    </xdr:to>
    <xdr:pic>
      <xdr:nvPicPr>
        <xdr:cNvPr id="64" name="Picture 20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80138" y="10666207"/>
          <a:ext cx="7696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11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17928</xdr:colOff>
      <xdr:row>40</xdr:row>
      <xdr:rowOff>89646</xdr:rowOff>
    </xdr:from>
    <xdr:to>
      <xdr:col>2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228599</xdr:colOff>
          <xdr:row>16</xdr:row>
          <xdr:rowOff>457199</xdr:rowOff>
        </xdr:from>
        <xdr:to>
          <xdr:col>17</xdr:col>
          <xdr:colOff>624840</xdr:colOff>
          <xdr:row>18</xdr:row>
          <xdr:rowOff>1047119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4" spid="_x0000_s3353"/>
                </a:ext>
              </a:extLst>
            </xdr:cNvPicPr>
          </xdr:nvPicPr>
          <xdr:blipFill>
            <a:blip xmlns:r="http://schemas.openxmlformats.org/officeDocument/2006/relationships" r:embed="rId79"/>
            <a:srcRect/>
            <a:stretch>
              <a:fillRect/>
            </a:stretch>
          </xdr:blipFill>
          <xdr:spPr bwMode="auto">
            <a:xfrm>
              <a:off x="4324349" y="3352799"/>
              <a:ext cx="4695826" cy="175006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55243</xdr:colOff>
      <xdr:row>23</xdr:row>
      <xdr:rowOff>125114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693208</xdr:colOff>
      <xdr:row>5</xdr:row>
      <xdr:rowOff>26459</xdr:rowOff>
    </xdr:from>
    <xdr:to>
      <xdr:col>5</xdr:col>
      <xdr:colOff>382805</xdr:colOff>
      <xdr:row>14</xdr:row>
      <xdr:rowOff>1841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35458" y="1307042"/>
          <a:ext cx="737347" cy="1644586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18070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4</xdr:col>
      <xdr:colOff>926466</xdr:colOff>
      <xdr:row>14</xdr:row>
      <xdr:rowOff>94825</xdr:rowOff>
    </xdr:from>
    <xdr:to>
      <xdr:col>7</xdr:col>
      <xdr:colOff>150216</xdr:colOff>
      <xdr:row>22</xdr:row>
      <xdr:rowOff>126174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465D653-C26B-F552-E779-97DB2CF86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32141" y="3038050"/>
          <a:ext cx="2166975" cy="152677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511762</xdr:colOff>
      <xdr:row>13</xdr:row>
      <xdr:rowOff>247650</xdr:rowOff>
    </xdr:from>
    <xdr:to>
      <xdr:col>7</xdr:col>
      <xdr:colOff>191172</xdr:colOff>
      <xdr:row>23</xdr:row>
      <xdr:rowOff>76200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E1C191E-337C-41A6-9B1D-B47A50D7F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89012" y="3086100"/>
          <a:ext cx="2622635" cy="1809750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771712</xdr:colOff>
      <xdr:row>5</xdr:row>
      <xdr:rowOff>19119</xdr:rowOff>
    </xdr:from>
    <xdr:to>
      <xdr:col>5</xdr:col>
      <xdr:colOff>159977</xdr:colOff>
      <xdr:row>13</xdr:row>
      <xdr:rowOff>283400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96462" y="1457394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4</xdr:col>
      <xdr:colOff>640498</xdr:colOff>
      <xdr:row>13</xdr:row>
      <xdr:rowOff>66675</xdr:rowOff>
    </xdr:from>
    <xdr:to>
      <xdr:col>7</xdr:col>
      <xdr:colOff>292984</xdr:colOff>
      <xdr:row>23</xdr:row>
      <xdr:rowOff>11242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BD8B3AC-F761-6502-E780-13D54DECA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27173" y="2867025"/>
          <a:ext cx="2595711" cy="17924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30480</xdr:colOff>
      <xdr:row>5</xdr:row>
      <xdr:rowOff>29585</xdr:rowOff>
    </xdr:from>
    <xdr:to>
      <xdr:col>5</xdr:col>
      <xdr:colOff>288216</xdr:colOff>
      <xdr:row>16</xdr:row>
      <xdr:rowOff>99032</xdr:rowOff>
    </xdr:to>
    <xdr:pic>
      <xdr:nvPicPr>
        <xdr:cNvPr id="285914" name="Obrázek 4">
          <a:extLst>
            <a:ext uri="{FF2B5EF4-FFF2-40B4-BE49-F238E27FC236}">
              <a16:creationId xmlns:a16="http://schemas.microsoft.com/office/drawing/2014/main" id="{00000000-0008-0000-2300-0000DA5C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0151" y="1230856"/>
          <a:ext cx="1269402" cy="2409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1545844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1377763</xdr:colOff>
      <xdr:row>11</xdr:row>
      <xdr:rowOff>380441</xdr:rowOff>
    </xdr:from>
    <xdr:to>
      <xdr:col>2</xdr:col>
      <xdr:colOff>2301389</xdr:colOff>
      <xdr:row>18</xdr:row>
      <xdr:rowOff>192452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F86EFC5-57A2-4BF0-9252-DE95FFA47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73438" y="2780741"/>
          <a:ext cx="923626" cy="1326486"/>
        </a:xfrm>
        <a:prstGeom prst="rect">
          <a:avLst/>
        </a:prstGeom>
      </xdr:spPr>
    </xdr:pic>
    <xdr:clientData/>
  </xdr:twoCellAnchor>
  <xdr:twoCellAnchor editAs="oneCell">
    <xdr:from>
      <xdr:col>0</xdr:col>
      <xdr:colOff>1093692</xdr:colOff>
      <xdr:row>12</xdr:row>
      <xdr:rowOff>119571</xdr:rowOff>
    </xdr:from>
    <xdr:to>
      <xdr:col>0</xdr:col>
      <xdr:colOff>2418126</xdr:colOff>
      <xdr:row>18</xdr:row>
      <xdr:rowOff>57596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2D3178E-41E7-4BE1-8BE3-9F906AC4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93692" y="2710371"/>
          <a:ext cx="1320624" cy="974121"/>
        </a:xfrm>
        <a:prstGeom prst="rect">
          <a:avLst/>
        </a:prstGeom>
      </xdr:spPr>
    </xdr:pic>
    <xdr:clientData/>
  </xdr:twoCellAnchor>
  <xdr:twoCellAnchor editAs="oneCell">
    <xdr:from>
      <xdr:col>6</xdr:col>
      <xdr:colOff>73234</xdr:colOff>
      <xdr:row>8</xdr:row>
      <xdr:rowOff>26895</xdr:rowOff>
    </xdr:from>
    <xdr:to>
      <xdr:col>8</xdr:col>
      <xdr:colOff>362400</xdr:colOff>
      <xdr:row>14</xdr:row>
      <xdr:rowOff>141735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81341C-715A-456F-B357-900DF949E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30999" y="1783977"/>
          <a:ext cx="1612131" cy="1594017"/>
        </a:xfrm>
        <a:prstGeom prst="rect">
          <a:avLst/>
        </a:prstGeom>
      </xdr:spPr>
    </xdr:pic>
    <xdr:clientData/>
  </xdr:twoCellAnchor>
  <xdr:twoCellAnchor editAs="oneCell">
    <xdr:from>
      <xdr:col>6</xdr:col>
      <xdr:colOff>572455</xdr:colOff>
      <xdr:row>0</xdr:row>
      <xdr:rowOff>133350</xdr:rowOff>
    </xdr:from>
    <xdr:to>
      <xdr:col>9</xdr:col>
      <xdr:colOff>0</xdr:colOff>
      <xdr:row>2</xdr:row>
      <xdr:rowOff>247650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88F6C6C8-1FD1-41FE-9E36-800CBCD03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5605" y="133350"/>
          <a:ext cx="245649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7441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892660</xdr:colOff>
      <xdr:row>18</xdr:row>
      <xdr:rowOff>18457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2494421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21740</xdr:colOff>
      <xdr:row>18</xdr:row>
      <xdr:rowOff>49953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593410</xdr:colOff>
      <xdr:row>0</xdr:row>
      <xdr:rowOff>104775</xdr:rowOff>
    </xdr:from>
    <xdr:to>
      <xdr:col>9</xdr:col>
      <xdr:colOff>0</xdr:colOff>
      <xdr:row>2</xdr:row>
      <xdr:rowOff>217170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80385" y="10477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131446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106459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2638929</xdr:colOff>
      <xdr:row>25</xdr:row>
      <xdr:rowOff>16212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47944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1644965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://www.demos24plus.com/DirectMail/default.aspx?code=494207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V303"/>
  <sheetViews>
    <sheetView showGridLines="0" showRowColHeaders="0" tabSelected="1" zoomScaleNormal="100" workbookViewId="0">
      <selection activeCell="E7" sqref="E7:R7"/>
    </sheetView>
  </sheetViews>
  <sheetFormatPr defaultColWidth="0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1.33203125" style="1" customWidth="1"/>
    <col min="20" max="20" width="13.6640625" style="1" hidden="1" customWidth="1"/>
    <col min="21" max="22" width="8.6640625" style="1" hidden="1" customWidth="1"/>
    <col min="23" max="16384" width="8.88671875" style="1" hidden="1"/>
  </cols>
  <sheetData>
    <row r="1" spans="1:21" ht="15" customHeight="1" x14ac:dyDescent="0.5">
      <c r="A1" s="627" t="str">
        <f>texty!A22</f>
        <v>KOVANIE NA VSTAVANÉ SKRINE:</v>
      </c>
      <c r="B1" s="628"/>
      <c r="C1" s="628"/>
      <c r="D1" s="628"/>
      <c r="E1" s="628"/>
      <c r="F1" s="628"/>
      <c r="G1" s="628"/>
      <c r="H1" s="628"/>
      <c r="I1" s="628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29"/>
      <c r="B2" s="630"/>
      <c r="C2" s="630"/>
      <c r="D2" s="630"/>
      <c r="E2" s="630"/>
      <c r="F2" s="630"/>
      <c r="G2" s="630"/>
      <c r="H2" s="630"/>
      <c r="I2" s="630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31"/>
      <c r="B3" s="632"/>
      <c r="C3" s="632"/>
      <c r="D3" s="632"/>
      <c r="E3" s="632"/>
      <c r="F3" s="632"/>
      <c r="G3" s="632"/>
      <c r="H3" s="632"/>
      <c r="I3" s="632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35" t="str">
        <f>texty!A23</f>
        <v>Zákazník:</v>
      </c>
      <c r="B5" s="636"/>
      <c r="C5" s="636"/>
      <c r="D5" s="636"/>
      <c r="E5" s="636"/>
      <c r="F5" s="636"/>
      <c r="G5" s="636"/>
      <c r="H5" s="636"/>
      <c r="I5" s="636"/>
      <c r="J5" s="636"/>
      <c r="K5" s="636"/>
      <c r="L5" s="636"/>
      <c r="M5" s="636"/>
      <c r="N5" s="636"/>
      <c r="O5" s="636"/>
      <c r="P5" s="636"/>
      <c r="Q5" s="636"/>
      <c r="R5" s="636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24" t="str">
        <f>texty!A24</f>
        <v>Názov:</v>
      </c>
      <c r="B7" s="625"/>
      <c r="C7" s="625"/>
      <c r="D7" s="62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Zákazník:, , IČO: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54"/>
      <c r="R8" s="455"/>
    </row>
    <row r="9" spans="1:21" ht="19.5" customHeight="1" thickBot="1" x14ac:dyDescent="0.35">
      <c r="A9" s="633" t="str">
        <f>texty!A25</f>
        <v>Ulica:</v>
      </c>
      <c r="B9" s="634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54"/>
      <c r="R10" s="455"/>
    </row>
    <row r="11" spans="1:21" ht="19.5" customHeight="1" thickBot="1" x14ac:dyDescent="0.35">
      <c r="A11" s="624" t="str">
        <f>texty!A26</f>
        <v>Mesto, PSČ:</v>
      </c>
      <c r="B11" s="625"/>
      <c r="C11" s="62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5"/>
    </row>
    <row r="13" spans="1:21" ht="19.5" customHeight="1" thickBot="1" x14ac:dyDescent="0.35">
      <c r="A13" s="614" t="str">
        <f>texty!A27</f>
        <v>IČO:</v>
      </c>
      <c r="B13" s="634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5"/>
    </row>
    <row r="15" spans="1:21" ht="19.5" customHeight="1" thickBot="1" x14ac:dyDescent="0.35">
      <c r="A15" s="614" t="str">
        <f>texty!A28</f>
        <v>Zľava:</v>
      </c>
      <c r="B15" s="615"/>
      <c r="C15" s="616"/>
      <c r="D15" s="617"/>
      <c r="E15" s="206" t="s">
        <v>55</v>
      </c>
      <c r="F15" s="207" t="str">
        <f>texty!A29</f>
        <v>Poznámka: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51"/>
      <c r="B16" s="652"/>
      <c r="C16" s="652"/>
      <c r="D16" s="652"/>
      <c r="E16" s="652"/>
      <c r="F16" s="652"/>
      <c r="G16" s="652"/>
      <c r="H16" s="652"/>
      <c r="I16" s="652"/>
      <c r="J16" s="652"/>
      <c r="K16" s="653"/>
      <c r="L16" s="653"/>
      <c r="M16" s="653"/>
      <c r="N16" s="653"/>
      <c r="O16" s="653"/>
      <c r="P16" s="653"/>
      <c r="Q16" s="653"/>
      <c r="R16" s="654"/>
    </row>
    <row r="17" spans="1:18" s="201" customFormat="1" ht="75" customHeight="1" x14ac:dyDescent="0.25">
      <c r="A17" s="640" t="str">
        <f>texty!A31</f>
        <v>Výplň tl. 4 mm ( sklo lebo zrkadlo) - rámové dvere</v>
      </c>
      <c r="B17" s="641"/>
      <c r="C17" s="642"/>
      <c r="D17" s="644" t="str">
        <f>VLOOKUP(D20,cennik!A:B,2,0)</f>
        <v>SEVROLL vzorkovník Úchytkové lišty 2023 - šanon</v>
      </c>
      <c r="E17" s="645"/>
      <c r="F17" s="645"/>
      <c r="G17" s="645"/>
      <c r="H17" s="645"/>
      <c r="I17" s="646"/>
      <c r="J17" s="582"/>
      <c r="K17" s="571"/>
      <c r="L17" s="643" t="str">
        <f>texty!A275</f>
        <v>Malé vzorky profilov</v>
      </c>
      <c r="M17" s="643"/>
      <c r="N17" s="643"/>
      <c r="O17" s="643"/>
      <c r="P17" s="571"/>
      <c r="Q17" s="571"/>
      <c r="R17" s="572"/>
    </row>
    <row r="18" spans="1:18" ht="16.95" customHeight="1" thickBot="1" x14ac:dyDescent="0.35">
      <c r="A18" s="221"/>
      <c r="B18" s="586"/>
      <c r="C18" s="216"/>
      <c r="D18" s="221"/>
      <c r="E18" s="216"/>
      <c r="F18" s="216"/>
      <c r="G18" s="216"/>
      <c r="H18" s="216"/>
      <c r="I18" s="217"/>
      <c r="J18" s="221"/>
      <c r="K18" s="573"/>
      <c r="L18" s="573"/>
      <c r="M18" s="573"/>
      <c r="N18" s="573"/>
      <c r="O18" s="573"/>
      <c r="P18" s="573"/>
      <c r="Q18" s="573"/>
      <c r="R18" s="574"/>
    </row>
    <row r="19" spans="1:18" ht="103.2" customHeight="1" thickBot="1" x14ac:dyDescent="0.35">
      <c r="A19" s="221"/>
      <c r="B19" s="502"/>
      <c r="C19" s="216"/>
      <c r="D19" s="221"/>
      <c r="E19" s="216"/>
      <c r="F19" s="218"/>
      <c r="G19" s="216"/>
      <c r="H19" s="216"/>
      <c r="I19" s="217"/>
      <c r="J19" s="221"/>
      <c r="K19" s="573"/>
      <c r="L19" s="573"/>
      <c r="M19" s="573"/>
      <c r="N19" s="573"/>
      <c r="O19" s="573"/>
      <c r="P19" s="573"/>
      <c r="Q19" s="573"/>
      <c r="R19" s="574"/>
    </row>
    <row r="20" spans="1:18" ht="24.75" customHeight="1" x14ac:dyDescent="0.3">
      <c r="A20" s="581"/>
      <c r="B20" s="584" t="s">
        <v>834</v>
      </c>
      <c r="C20" s="581"/>
      <c r="D20" s="647">
        <v>494207</v>
      </c>
      <c r="E20" s="648"/>
      <c r="F20" s="648"/>
      <c r="G20" s="648"/>
      <c r="H20" s="648"/>
      <c r="I20" s="649"/>
      <c r="J20" s="583"/>
      <c r="K20" s="573"/>
      <c r="L20" s="573"/>
      <c r="M20" s="573"/>
      <c r="N20" s="573"/>
      <c r="O20" s="573"/>
      <c r="P20" s="573"/>
      <c r="Q20" s="573"/>
      <c r="R20" s="574"/>
    </row>
    <row r="21" spans="1:18" ht="15" customHeight="1" thickBot="1" x14ac:dyDescent="0.35">
      <c r="A21" s="222"/>
      <c r="B21" s="585" t="str">
        <f>texty!A58</f>
        <v>výška až 3 m!</v>
      </c>
      <c r="C21" s="219"/>
      <c r="D21" s="222"/>
      <c r="E21" s="219"/>
      <c r="F21" s="219"/>
      <c r="G21" s="219"/>
      <c r="H21" s="219"/>
      <c r="I21" s="220"/>
      <c r="J21" s="222"/>
      <c r="K21" s="575"/>
      <c r="L21" s="575"/>
      <c r="M21" s="575"/>
      <c r="N21" s="575"/>
      <c r="O21" s="575"/>
      <c r="P21" s="575"/>
      <c r="Q21" s="575"/>
      <c r="R21" s="576"/>
    </row>
    <row r="22" spans="1:18" ht="24.75" customHeight="1" x14ac:dyDescent="0.3">
      <c r="A22" s="655" t="str">
        <f>texty!A30</f>
        <v>Výplň tl. 10mm(lebo sklo/zrkadlo s použitím tesnenia - hr.4 alebo 6mm) - rámové dvere</v>
      </c>
      <c r="B22" s="656"/>
      <c r="C22" s="656"/>
      <c r="D22" s="656"/>
      <c r="E22" s="656"/>
      <c r="F22" s="656"/>
      <c r="G22" s="656"/>
      <c r="H22" s="656"/>
      <c r="I22" s="656"/>
      <c r="J22" s="656"/>
      <c r="K22" s="657"/>
      <c r="L22" s="657"/>
      <c r="M22" s="657"/>
      <c r="N22" s="657"/>
      <c r="O22" s="657"/>
      <c r="P22" s="657"/>
      <c r="Q22" s="657"/>
      <c r="R22" s="658"/>
    </row>
    <row r="23" spans="1:18" ht="10.199999999999999" customHeight="1" x14ac:dyDescent="0.3">
      <c r="A23" s="503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504"/>
      <c r="N23" s="504"/>
      <c r="O23" s="504"/>
      <c r="P23" s="504"/>
      <c r="Q23" s="504"/>
      <c r="R23" s="505"/>
    </row>
    <row r="24" spans="1:18" s="197" customFormat="1" ht="30.75" customHeight="1" thickBot="1" x14ac:dyDescent="0.3">
      <c r="A24" s="506"/>
      <c r="B24" s="507"/>
      <c r="C24" s="507"/>
      <c r="D24" s="508"/>
      <c r="E24" s="507"/>
      <c r="F24" s="507"/>
      <c r="G24" s="507"/>
      <c r="H24" s="507"/>
      <c r="I24" s="507"/>
      <c r="J24" s="509"/>
      <c r="K24" s="507"/>
      <c r="L24" s="507"/>
      <c r="M24" s="510"/>
      <c r="N24" s="590" t="str">
        <f>texty!A58</f>
        <v>výška až 3 m!</v>
      </c>
      <c r="O24" s="511"/>
      <c r="P24" s="591" t="str">
        <f>texty!A57</f>
        <v>výška až 3,5m!</v>
      </c>
      <c r="Q24" s="507"/>
      <c r="R24" s="512"/>
    </row>
    <row r="25" spans="1:18" ht="107.25" customHeight="1" thickBot="1" x14ac:dyDescent="0.35">
      <c r="A25" s="513"/>
      <c r="B25" s="514"/>
      <c r="C25" s="515"/>
      <c r="D25" s="516"/>
      <c r="E25" s="507"/>
      <c r="F25" s="517"/>
      <c r="G25" s="518"/>
      <c r="H25" s="519"/>
      <c r="I25" s="520"/>
      <c r="J25" s="502"/>
      <c r="K25" s="515"/>
      <c r="L25" s="502"/>
      <c r="M25" s="521"/>
      <c r="N25" s="502"/>
      <c r="O25" s="515"/>
      <c r="P25" s="522"/>
      <c r="Q25" s="515"/>
      <c r="R25" s="521"/>
    </row>
    <row r="26" spans="1:18" s="51" customFormat="1" ht="15" customHeight="1" x14ac:dyDescent="0.3">
      <c r="A26" s="523"/>
      <c r="B26" s="524" t="s">
        <v>6580</v>
      </c>
      <c r="C26" s="525"/>
      <c r="D26" s="526" t="s">
        <v>42</v>
      </c>
      <c r="E26" s="527"/>
      <c r="F26" s="528" t="s">
        <v>850</v>
      </c>
      <c r="G26" s="518"/>
      <c r="H26" s="529" t="s">
        <v>6579</v>
      </c>
      <c r="I26" s="527"/>
      <c r="J26" s="528" t="s">
        <v>6585</v>
      </c>
      <c r="K26" s="525"/>
      <c r="L26" s="530" t="s">
        <v>6578</v>
      </c>
      <c r="M26" s="200"/>
      <c r="N26" s="531" t="s">
        <v>684</v>
      </c>
      <c r="O26" s="532"/>
      <c r="P26" s="533" t="s">
        <v>6586</v>
      </c>
      <c r="Q26" s="525"/>
      <c r="R26" s="534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50" t="s">
        <v>1005</v>
      </c>
      <c r="N28" s="650"/>
      <c r="O28" s="650"/>
      <c r="P28" s="650"/>
      <c r="Q28" s="650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3"/>
      <c r="O29" s="403"/>
      <c r="P29" s="403"/>
      <c r="Q29" s="403"/>
      <c r="R29" s="251"/>
    </row>
    <row r="30" spans="1:18" ht="107.25" customHeight="1" thickBot="1" x14ac:dyDescent="0.35">
      <c r="A30" s="240"/>
      <c r="B30" s="502"/>
      <c r="C30" s="242"/>
      <c r="D30" s="502"/>
      <c r="E30" s="242"/>
      <c r="F30" s="502"/>
      <c r="G30" s="242"/>
      <c r="H30" s="242"/>
      <c r="I30" s="242"/>
      <c r="J30" s="242"/>
      <c r="K30" s="242"/>
      <c r="L30" s="250"/>
      <c r="M30" s="255"/>
      <c r="N30" s="502"/>
      <c r="O30" s="255"/>
      <c r="P30" s="502"/>
      <c r="Q30" s="403"/>
      <c r="R30" s="251"/>
    </row>
    <row r="31" spans="1:18" s="198" customFormat="1" ht="19.5" customHeight="1" x14ac:dyDescent="0.25">
      <c r="A31" s="305"/>
      <c r="B31" s="533" t="s">
        <v>829</v>
      </c>
      <c r="C31" s="306"/>
      <c r="D31" s="533" t="s">
        <v>2624</v>
      </c>
      <c r="E31" s="256"/>
      <c r="F31" s="533" t="s">
        <v>2626</v>
      </c>
      <c r="G31" s="256"/>
      <c r="H31" s="256"/>
      <c r="I31" s="256"/>
      <c r="J31" s="256"/>
      <c r="K31" s="256"/>
      <c r="L31" s="257"/>
      <c r="M31" s="258"/>
      <c r="N31" s="535" t="s">
        <v>666</v>
      </c>
      <c r="O31" s="261"/>
      <c r="P31" s="535" t="s">
        <v>667</v>
      </c>
      <c r="Q31" s="403"/>
      <c r="R31" s="251"/>
    </row>
    <row r="32" spans="1:18" ht="19.5" customHeight="1" thickBot="1" x14ac:dyDescent="0.35">
      <c r="A32" s="457"/>
      <c r="B32" s="458"/>
      <c r="C32" s="458"/>
      <c r="D32" s="458"/>
      <c r="E32" s="458"/>
      <c r="F32" s="458"/>
      <c r="G32" s="458"/>
      <c r="H32" s="458"/>
      <c r="I32" s="259"/>
      <c r="J32" s="260"/>
      <c r="K32" s="260"/>
      <c r="L32" s="260"/>
      <c r="M32" s="459"/>
      <c r="N32" s="459"/>
      <c r="O32" s="459"/>
      <c r="P32" s="459"/>
      <c r="Q32" s="460"/>
      <c r="R32" s="461"/>
    </row>
    <row r="33" spans="1:18" s="199" customFormat="1" ht="24.75" customHeight="1" x14ac:dyDescent="0.25">
      <c r="A33" s="637" t="str">
        <f>texty!A32</f>
        <v>Výplň 18mm (drevotrieska 18mm, prípadne kombinácia DTD + sklo / zrkadlo</v>
      </c>
      <c r="B33" s="638"/>
      <c r="C33" s="638"/>
      <c r="D33" s="638"/>
      <c r="E33" s="638"/>
      <c r="F33" s="638"/>
      <c r="G33" s="638"/>
      <c r="H33" s="638"/>
      <c r="I33" s="638"/>
      <c r="J33" s="638"/>
      <c r="K33" s="638"/>
      <c r="L33" s="638"/>
      <c r="M33" s="638"/>
      <c r="N33" s="638"/>
      <c r="O33" s="638"/>
      <c r="P33" s="638"/>
      <c r="Q33" s="638"/>
      <c r="R33" s="639"/>
    </row>
    <row r="34" spans="1:18" ht="10.199999999999999" customHeight="1" x14ac:dyDescent="0.3">
      <c r="A34" s="536"/>
      <c r="B34" s="537"/>
      <c r="C34" s="537"/>
      <c r="D34" s="537"/>
      <c r="E34" s="537"/>
      <c r="F34" s="537"/>
      <c r="G34" s="537"/>
      <c r="H34" s="537"/>
      <c r="I34" s="537"/>
      <c r="J34" s="537"/>
      <c r="K34" s="537"/>
      <c r="L34" s="537"/>
      <c r="M34" s="538"/>
      <c r="N34" s="538"/>
      <c r="O34" s="538"/>
      <c r="P34" s="538"/>
      <c r="Q34" s="212"/>
      <c r="R34" s="539"/>
    </row>
    <row r="35" spans="1:18" s="197" customFormat="1" ht="30.75" customHeight="1" thickBot="1" x14ac:dyDescent="0.3">
      <c r="A35" s="540"/>
      <c r="B35" s="541"/>
      <c r="C35" s="541"/>
      <c r="D35" s="541"/>
      <c r="E35" s="541"/>
      <c r="F35" s="542"/>
      <c r="G35" s="203"/>
      <c r="H35" s="542"/>
      <c r="I35" s="203"/>
      <c r="J35" s="542"/>
      <c r="K35" s="203"/>
      <c r="L35" s="542"/>
      <c r="M35" s="541"/>
      <c r="N35" s="543"/>
      <c r="O35" s="544"/>
      <c r="P35" s="212"/>
      <c r="Q35" s="212"/>
      <c r="R35" s="539"/>
    </row>
    <row r="36" spans="1:18" ht="106.5" customHeight="1" thickBot="1" x14ac:dyDescent="0.35">
      <c r="A36" s="545"/>
      <c r="B36" s="519"/>
      <c r="C36" s="538"/>
      <c r="D36" s="514"/>
      <c r="E36" s="538"/>
      <c r="F36" s="519"/>
      <c r="G36" s="538"/>
      <c r="H36" s="519"/>
      <c r="I36" s="538"/>
      <c r="J36" s="519"/>
      <c r="K36" s="546"/>
      <c r="L36" s="547"/>
      <c r="M36" s="548"/>
      <c r="N36" s="519"/>
      <c r="O36" s="548"/>
      <c r="P36" s="212"/>
      <c r="Q36" s="212"/>
      <c r="R36" s="404"/>
    </row>
    <row r="37" spans="1:18" s="51" customFormat="1" ht="15" customHeight="1" x14ac:dyDescent="0.3">
      <c r="A37" s="549"/>
      <c r="B37" s="550" t="s">
        <v>730</v>
      </c>
      <c r="C37" s="551"/>
      <c r="D37" s="550" t="s">
        <v>707</v>
      </c>
      <c r="E37" s="551"/>
      <c r="F37" s="550" t="s">
        <v>822</v>
      </c>
      <c r="G37" s="551"/>
      <c r="H37" s="550" t="s">
        <v>6532</v>
      </c>
      <c r="I37" s="551"/>
      <c r="J37" s="550" t="s">
        <v>851</v>
      </c>
      <c r="K37" s="552"/>
      <c r="L37" s="550" t="s">
        <v>731</v>
      </c>
      <c r="M37" s="550"/>
      <c r="N37" s="550" t="s">
        <v>729</v>
      </c>
      <c r="O37" s="550"/>
      <c r="P37" s="212"/>
      <c r="Q37" s="212"/>
      <c r="R37" s="230"/>
    </row>
    <row r="38" spans="1:18" s="51" customFormat="1" ht="15" customHeight="1" x14ac:dyDescent="0.3">
      <c r="A38" s="549"/>
      <c r="B38" s="212"/>
      <c r="C38" s="551"/>
      <c r="D38" s="202"/>
      <c r="E38" s="551"/>
      <c r="F38" s="212"/>
      <c r="G38" s="551"/>
      <c r="H38" s="212"/>
      <c r="I38" s="551"/>
      <c r="J38" s="212"/>
      <c r="K38" s="552"/>
      <c r="L38" s="212"/>
      <c r="M38" s="212"/>
      <c r="N38" s="212"/>
      <c r="O38" s="212"/>
      <c r="P38" s="212"/>
      <c r="Q38" s="212"/>
      <c r="R38" s="230"/>
    </row>
    <row r="39" spans="1:18" s="456" customFormat="1" ht="15" customHeight="1" x14ac:dyDescent="0.25">
      <c r="A39" s="549"/>
      <c r="B39" s="212"/>
      <c r="C39" s="551"/>
      <c r="D39" s="212"/>
      <c r="E39" s="551"/>
      <c r="F39" s="212"/>
      <c r="G39" s="551"/>
      <c r="H39" s="212"/>
      <c r="I39" s="552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8"/>
      <c r="B40" s="548"/>
      <c r="C40" s="544"/>
      <c r="D40" s="544"/>
      <c r="E40" s="544"/>
      <c r="F40" s="548"/>
      <c r="G40" s="552"/>
      <c r="H40" s="212"/>
      <c r="I40" s="212"/>
      <c r="J40" s="212"/>
      <c r="K40" s="553"/>
      <c r="L40" s="553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8"/>
      <c r="B41" s="554"/>
      <c r="C41" s="538"/>
      <c r="D41" s="555"/>
      <c r="E41" s="556"/>
      <c r="F41" s="547"/>
      <c r="G41" s="556"/>
      <c r="H41" s="547"/>
      <c r="I41" s="538"/>
      <c r="J41" s="514"/>
      <c r="K41" s="553"/>
      <c r="L41" s="554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51"/>
      <c r="B42" s="550" t="s">
        <v>852</v>
      </c>
      <c r="C42" s="551"/>
      <c r="D42" s="550" t="s">
        <v>560</v>
      </c>
      <c r="E42" s="551"/>
      <c r="F42" s="550" t="s">
        <v>586</v>
      </c>
      <c r="G42" s="551"/>
      <c r="H42" s="550" t="s">
        <v>590</v>
      </c>
      <c r="I42" s="550"/>
      <c r="J42" s="557" t="s">
        <v>828</v>
      </c>
      <c r="K42" s="558"/>
      <c r="L42" s="550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systém GM 18 (kombinácia DTD 18mm a sklo) (rámový)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(rámový)</v>
      </c>
      <c r="J44" s="673"/>
      <c r="K44" s="673"/>
      <c r="L44" s="673"/>
      <c r="M44" s="212"/>
      <c r="N44" s="666" t="str">
        <f>texty!A220</f>
        <v>Blue 18 mm (bezrámovo)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63"/>
      <c r="I45" s="264"/>
      <c r="J45" s="239" t="str">
        <f>texty!A151</f>
        <v>NOVINKA</v>
      </c>
      <c r="K45" s="264"/>
      <c r="L45" s="239" t="str">
        <f>texty!A151</f>
        <v>NOVINKA</v>
      </c>
      <c r="M45" s="212"/>
      <c r="N45" s="239" t="str">
        <f>texty!A151</f>
        <v>NOVINKA</v>
      </c>
      <c r="O45" s="238"/>
      <c r="P45" s="239" t="str">
        <f>texty!A151</f>
        <v>NOVINKA</v>
      </c>
      <c r="Q45" s="223"/>
      <c r="R45" s="230"/>
    </row>
    <row r="46" spans="1:18" s="51" customFormat="1" ht="106.5" customHeight="1" thickTop="1" thickBot="1" x14ac:dyDescent="0.35">
      <c r="A46" s="233"/>
      <c r="B46" s="514"/>
      <c r="C46" s="229"/>
      <c r="D46" s="502"/>
      <c r="E46" s="229"/>
      <c r="F46" s="559" t="e" vm="1">
        <v>#VALUE!</v>
      </c>
      <c r="G46" s="223"/>
      <c r="H46" s="463"/>
      <c r="I46" s="560"/>
      <c r="J46" s="561"/>
      <c r="K46" s="560"/>
      <c r="L46" s="561"/>
      <c r="M46" s="212"/>
      <c r="N46" s="562"/>
      <c r="O46" s="238"/>
      <c r="P46" s="562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63"/>
      <c r="I47" s="560"/>
      <c r="J47" s="308" t="s">
        <v>926</v>
      </c>
      <c r="K47" s="563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63"/>
      <c r="I48" s="226"/>
      <c r="J48" s="223"/>
      <c r="K48" s="227"/>
      <c r="L48" s="237"/>
      <c r="M48" s="212"/>
      <c r="N48" s="564"/>
      <c r="O48" s="564"/>
      <c r="P48" s="564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63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systém GM 18 (kombinácia DTD 18mm a sklo) (bezrámovo)</v>
      </c>
      <c r="B50" s="669"/>
      <c r="C50" s="669"/>
      <c r="D50" s="669"/>
      <c r="E50" s="669"/>
      <c r="F50" s="669"/>
      <c r="G50" s="223"/>
      <c r="H50" s="463"/>
      <c r="I50" s="212"/>
      <c r="J50" s="212"/>
      <c r="K50" s="666" t="str">
        <f>texty!A222</f>
        <v> Systém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63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14"/>
      <c r="C52" s="229"/>
      <c r="D52" s="502"/>
      <c r="E52" s="223"/>
      <c r="F52" s="462" t="e" vm="1">
        <v>#VALUE!</v>
      </c>
      <c r="G52" s="223"/>
      <c r="H52" s="463"/>
      <c r="I52" s="212"/>
      <c r="J52" s="212"/>
      <c r="K52" s="225"/>
      <c r="L52" s="565"/>
      <c r="M52" s="225"/>
      <c r="N52" s="565"/>
      <c r="O52" s="225"/>
      <c r="P52" s="565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63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Ďalšie príslušenstvo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Návod na použitie:</v>
      </c>
    </row>
    <row r="60" spans="1:18" ht="15" customHeight="1" x14ac:dyDescent="0.3">
      <c r="A60" s="1" t="str">
        <f>texty!A134</f>
        <v>1. Vyplnte prosím kontatkné údaje, taktiež môžete zadať svoju zákaznícku zľavu.Tieto údaje sa prenesú na jednotlivé listy.</v>
      </c>
    </row>
    <row r="61" spans="1:18" ht="15" customHeight="1" x14ac:dyDescent="0.3">
      <c r="A61" s="1" t="str">
        <f>texty!A135</f>
        <v>2. Vyberte požadovaný typ úchytného profilu (kliknite na názov profilu pod obrázkom)</v>
      </c>
    </row>
    <row r="62" spans="1:18" ht="15" customHeight="1" x14ac:dyDescent="0.3">
      <c r="A62" s="1" t="str">
        <f>texty!A136</f>
        <v>3. Na stránke so zostavou profilou vyplnte rozmer otvoru.</v>
      </c>
    </row>
    <row r="63" spans="1:18" ht="15" customHeight="1" x14ac:dyDescent="0.3">
      <c r="A63" s="1" t="str">
        <f>texty!A137</f>
        <v>4. Vyplnte počet dverí, z ktorých sa bude zostava skladať</v>
      </c>
    </row>
    <row r="64" spans="1:18" ht="15" customHeight="1" x14ac:dyDescent="0.3">
      <c r="A64" s="1" t="str">
        <f>texty!A138</f>
        <v>5. Vyberte požadovanú farbu profilu (kliknite na okienko so šipkou - rozbalí sa zoznam, tu vyberte farbu)</v>
      </c>
    </row>
    <row r="65" spans="1:19" ht="15" customHeight="1" x14ac:dyDescent="0.3">
      <c r="A65" s="1" t="str">
        <f>texty!A139</f>
        <v>6. V prípade, že chcete dvere rozdeliť deliacími profilmi, doplnte v spodnej časti formuláru potrebný počet líšt</v>
      </c>
    </row>
    <row r="66" spans="1:19" ht="15" customHeight="1" x14ac:dyDescent="0.3">
      <c r="A66" s="1" t="str">
        <f>texty!A140</f>
        <v>7. Pri použití skla alebo zrkadla je nutné použiť tesniaci profil. Vzhľadom k možnej kombinácií skla s doskami</v>
      </c>
    </row>
    <row r="67" spans="1:19" ht="15" customHeight="1" x14ac:dyDescent="0.3">
      <c r="A67" s="1" t="str">
        <f>texty!A141</f>
        <v xml:space="preserve">    nie je možné určiť dĺžku tesnenia predom. V zostave je vypočítaná dĺžka tesnenia na jedno krídlo.</v>
      </c>
    </row>
    <row r="68" spans="1:19" ht="15" customHeight="1" x14ac:dyDescent="0.3">
      <c r="A68" s="1" t="str">
        <f>texty!A142</f>
        <v xml:space="preserve">    Ďalej je spočítaná dĺžka v prípade, že celá zostava je zo skla / zrkadla</v>
      </c>
      <c r="H68" s="190"/>
      <c r="I68" s="190"/>
      <c r="J68" s="190"/>
    </row>
    <row r="69" spans="1:19" ht="15" customHeight="1" x14ac:dyDescent="0.3">
      <c r="A69" s="1" t="str">
        <f>texty!A143</f>
        <v>8. V prípade delenia úchytového profilu je kalkulovaná šírka rezu 5mm.</v>
      </c>
    </row>
    <row r="70" spans="1:19" ht="15" customHeight="1" x14ac:dyDescent="0.3"/>
    <row r="71" spans="1:19" ht="15" customHeight="1" x14ac:dyDescent="0.3">
      <c r="O71" s="566"/>
    </row>
    <row r="72" spans="1:19" ht="16.5" customHeight="1" x14ac:dyDescent="0.3">
      <c r="O72" s="566"/>
    </row>
    <row r="73" spans="1:19" ht="15" customHeight="1" x14ac:dyDescent="0.3">
      <c r="B73" s="143" t="s">
        <v>11234</v>
      </c>
      <c r="F73" s="567"/>
      <c r="G73" s="568"/>
    </row>
    <row r="74" spans="1:19" ht="15" customHeight="1" x14ac:dyDescent="0.3">
      <c r="A74" s="665" t="str">
        <f>texty!A153</f>
        <v>Spracované na základe údajov dodaných výrobcom, chyby vyhradené, zvlášť v prípade hromadnej výroby odporúčame najprv výrobu skúšobného prototypu.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9DkAWUb8ZbVHmsHRlWxsYRvE1CT36/K2WOp+V5k885nbHde++9Xdjr+xnlLOkyxR+hFAG4kxr465Bibs7j/49Q==" saltValue="VXfFyz03yZw71/u4LdHOrA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:I3"/>
    <mergeCell ref="A9:B9"/>
    <mergeCell ref="A5:R5"/>
    <mergeCell ref="C9:R9"/>
    <mergeCell ref="A33:R33"/>
    <mergeCell ref="A17:C17"/>
    <mergeCell ref="L17:O17"/>
    <mergeCell ref="D17:I17"/>
    <mergeCell ref="D20:I20"/>
    <mergeCell ref="M28:Q28"/>
    <mergeCell ref="A16:R16"/>
    <mergeCell ref="A22:R22"/>
    <mergeCell ref="A7:D7"/>
    <mergeCell ref="E7:R7"/>
    <mergeCell ref="D11:R11"/>
    <mergeCell ref="A13:B13"/>
    <mergeCell ref="A15:B15"/>
    <mergeCell ref="C15:D15"/>
    <mergeCell ref="C13:R13"/>
    <mergeCell ref="G15:R15"/>
    <mergeCell ref="A11:C11"/>
  </mergeCells>
  <hyperlinks>
    <hyperlink ref="D26" location="gemini!A1" display="gemini" xr:uid="{00000000-0004-0000-0400-000000000000}"/>
    <hyperlink ref="H26" location="julie!A1" display=" julie " xr:uid="{00000000-0004-0000-0400-000001000000}"/>
    <hyperlink ref="H37" location="victoria!A1" display="victoria" xr:uid="{00000000-0004-0000-0400-000002000000}"/>
    <hyperlink ref="B37" location="Faworyt!A1" display="Faworyt" xr:uid="{00000000-0004-0000-0400-000003000000}"/>
    <hyperlink ref="F37" location="'Oaza II'!barva_8" display="Oaza II" xr:uid="{00000000-0004-0000-0400-000005000000}"/>
    <hyperlink ref="J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D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A33:Q33" location="'sys. 18mm'!A1" display="'sys. 18mm'!A1" xr:uid="{00000000-0004-0000-0400-000024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D42" location="Ergo!barva_8" display="ERGO" xr:uid="{4A61A4C2-864B-4223-9B4B-32F2EDBE4FEF}"/>
    <hyperlink ref="F42" location="Orient!barva_8" display="Orient" xr:uid="{28A9D1B3-1F24-45B5-AA56-380703DAC21F}"/>
    <hyperlink ref="H42" location="Elegant!barva_8" display="Elegant" xr:uid="{EDB18EFC-137E-4376-99BD-66FD6243E222}"/>
    <hyperlink ref="B42" location="'Focus II'!barva_8" display="Focus 18 II" xr:uid="{8DCF408A-75CA-4AA6-9D32-504D6CAFB575}"/>
    <hyperlink ref="J42" location="Beta!barva_8" display="Beta" xr:uid="{31F731DB-689C-4529-9C27-F1E7012760B4}"/>
    <hyperlink ref="N37" location="tytan!A1" display="tytan" xr:uid="{0243BE8A-6D24-4CD7-B2D8-327B9148518B}"/>
    <hyperlink ref="L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783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3" sqref="A3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7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v>2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skrutka 2,5x18mm polguľatá hlava zinok biely</v>
      </c>
      <c r="C3" s="185">
        <f>IF($A$2=1,H3,IF($A$2=2,I3,IF($A$2=3,J3,IF($A$2=4,K3,IF($A$2&gt;4,O3,"zadat jazyk")))))</f>
        <v>2.9409999999999999E-2</v>
      </c>
      <c r="D3" s="409" t="s">
        <v>2720</v>
      </c>
      <c r="E3" s="409" t="s">
        <v>6148</v>
      </c>
      <c r="F3" s="409" t="s">
        <v>6149</v>
      </c>
      <c r="G3" s="409" t="s">
        <v>6150</v>
      </c>
      <c r="H3" s="465">
        <v>0.86782999999999999</v>
      </c>
      <c r="I3" s="465">
        <v>2.9409999999999999E-2</v>
      </c>
      <c r="J3" s="465">
        <v>0.10996</v>
      </c>
      <c r="K3" s="465">
        <v>12.05189</v>
      </c>
      <c r="L3" s="464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spona dorazovej kefky</v>
      </c>
      <c r="C4" s="185">
        <f t="shared" ref="C4:C67" si="1">IF($A$2=1,H4,IF($A$2=2,I4,IF($A$2=3,J4,IF($A$2=4,K4,IF($A$2&gt;4,O4,"zadat jazyk")))))</f>
        <v>7.8070000000000001E-2</v>
      </c>
      <c r="D4" s="409" t="s">
        <v>3079</v>
      </c>
      <c r="E4" s="409" t="s">
        <v>6189</v>
      </c>
      <c r="F4" s="409" t="s">
        <v>6190</v>
      </c>
      <c r="G4" s="409" t="s">
        <v>6191</v>
      </c>
      <c r="H4" s="465">
        <v>2.3040099999999999</v>
      </c>
      <c r="I4" s="465">
        <v>7.8070000000000001E-2</v>
      </c>
      <c r="J4" s="465">
        <v>0.23857999999999999</v>
      </c>
      <c r="K4" s="465">
        <v>31.99663</v>
      </c>
      <c r="L4" s="464" t="s">
        <v>695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skrutkovrut Blue 6,3x45</v>
      </c>
      <c r="C5" s="185">
        <f t="shared" si="1"/>
        <v>0.15614</v>
      </c>
      <c r="D5" s="409" t="s">
        <v>3379</v>
      </c>
      <c r="E5" s="409" t="s">
        <v>6207</v>
      </c>
      <c r="F5" s="409" t="s">
        <v>6208</v>
      </c>
      <c r="G5" s="409" t="s">
        <v>6209</v>
      </c>
      <c r="H5" s="465">
        <v>4.6080500000000004</v>
      </c>
      <c r="I5" s="465">
        <v>0.15614</v>
      </c>
      <c r="J5" s="465">
        <v>0.52376999999999996</v>
      </c>
      <c r="K5" s="465">
        <v>63.993670000000002</v>
      </c>
      <c r="L5" s="464" t="s">
        <v>695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skrutkovrut 6,3x32 SEVROLL a Simple</v>
      </c>
      <c r="C6" s="185">
        <f t="shared" si="1"/>
        <v>0.15614</v>
      </c>
      <c r="D6" s="409" t="s">
        <v>2673</v>
      </c>
      <c r="E6" s="409" t="s">
        <v>6145</v>
      </c>
      <c r="F6" s="409" t="s">
        <v>6146</v>
      </c>
      <c r="G6" s="409" t="s">
        <v>6147</v>
      </c>
      <c r="H6" s="465">
        <v>4.6080500000000004</v>
      </c>
      <c r="I6" s="465">
        <v>0.15614</v>
      </c>
      <c r="J6" s="465">
        <v>0.52500000000000002</v>
      </c>
      <c r="K6" s="465">
        <v>63.993670000000002</v>
      </c>
      <c r="L6" s="464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pozicionér spodného vozíka HI-TEC</v>
      </c>
      <c r="C7" s="185">
        <f t="shared" si="1"/>
        <v>0.31226999999999999</v>
      </c>
      <c r="D7" s="409" t="s">
        <v>2750</v>
      </c>
      <c r="E7" s="409" t="s">
        <v>6151</v>
      </c>
      <c r="F7" s="409" t="s">
        <v>6152</v>
      </c>
      <c r="G7" s="409" t="s">
        <v>6153</v>
      </c>
      <c r="H7" s="465">
        <v>9.2160700000000002</v>
      </c>
      <c r="I7" s="465">
        <v>0.31226999999999999</v>
      </c>
      <c r="J7" s="465">
        <v>1.071</v>
      </c>
      <c r="K7" s="465">
        <v>127.98692</v>
      </c>
      <c r="L7" s="464" t="s">
        <v>695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str">
        <f t="shared" si="0"/>
        <v>SEVROLL unášač k tlmiču 11027</v>
      </c>
      <c r="C8" s="185" t="e">
        <f t="shared" si="1"/>
        <v>#N/A</v>
      </c>
      <c r="D8" s="409" t="s">
        <v>1069</v>
      </c>
      <c r="E8" s="409" t="s">
        <v>6198</v>
      </c>
      <c r="F8" s="409" t="s">
        <v>1070</v>
      </c>
      <c r="G8" s="409" t="s">
        <v>6199</v>
      </c>
      <c r="H8" s="465" t="e">
        <v>#N/A</v>
      </c>
      <c r="I8" s="465" t="e">
        <v>#N/A</v>
      </c>
      <c r="J8" s="465" t="e">
        <v>#N/A</v>
      </c>
      <c r="K8" s="465" t="e">
        <v>#N/A</v>
      </c>
      <c r="L8" s="464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dorazový kartáč samolepiaci 6,7x4mm šedý</v>
      </c>
      <c r="C9" s="185">
        <f t="shared" si="1"/>
        <v>0.26933000000000001</v>
      </c>
      <c r="D9" s="409" t="s">
        <v>3002</v>
      </c>
      <c r="E9" s="409" t="s">
        <v>5119</v>
      </c>
      <c r="F9" s="409" t="s">
        <v>6182</v>
      </c>
      <c r="G9" s="409" t="s">
        <v>6183</v>
      </c>
      <c r="H9" s="465">
        <v>7.8468499999999999</v>
      </c>
      <c r="I9" s="465">
        <v>0.26933000000000001</v>
      </c>
      <c r="J9" s="465">
        <v>1.1577</v>
      </c>
      <c r="K9" s="465">
        <v>106.65582000000001</v>
      </c>
      <c r="L9" s="464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pozicionér pre spodný vozík</v>
      </c>
      <c r="C10" s="185">
        <f t="shared" si="1"/>
        <v>0.36431999999999998</v>
      </c>
      <c r="D10" s="409" t="s">
        <v>3161</v>
      </c>
      <c r="E10" s="409" t="s">
        <v>6195</v>
      </c>
      <c r="F10" s="409" t="s">
        <v>6196</v>
      </c>
      <c r="G10" s="409" t="s">
        <v>6197</v>
      </c>
      <c r="H10" s="465">
        <v>10.75207</v>
      </c>
      <c r="I10" s="465">
        <v>0.36431999999999998</v>
      </c>
      <c r="J10" s="465">
        <v>1.2257</v>
      </c>
      <c r="K10" s="465">
        <v>149.31799000000001</v>
      </c>
      <c r="L10" s="464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pozícionér pre horný vozík</v>
      </c>
      <c r="C11" s="185">
        <f t="shared" si="1"/>
        <v>0.47361999999999999</v>
      </c>
      <c r="D11" s="409" t="s">
        <v>3126</v>
      </c>
      <c r="E11" s="409" t="s">
        <v>6192</v>
      </c>
      <c r="F11" s="409" t="s">
        <v>6193</v>
      </c>
      <c r="G11" s="409" t="s">
        <v>6194</v>
      </c>
      <c r="H11" s="465">
        <v>13.824109999999999</v>
      </c>
      <c r="I11" s="465">
        <v>0.47361999999999999</v>
      </c>
      <c r="J11" s="465">
        <v>1.5743100000000001</v>
      </c>
      <c r="K11" s="465">
        <v>191.98057</v>
      </c>
      <c r="L11" s="464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brzda (2ks v balení)</v>
      </c>
      <c r="C12" s="185">
        <f t="shared" si="1"/>
        <v>0.59852000000000005</v>
      </c>
      <c r="D12" s="409" t="s">
        <v>3347</v>
      </c>
      <c r="E12" s="409" t="s">
        <v>6205</v>
      </c>
      <c r="F12" s="409" t="s">
        <v>3347</v>
      </c>
      <c r="G12" s="409" t="s">
        <v>6206</v>
      </c>
      <c r="H12" s="465">
        <v>16.6462</v>
      </c>
      <c r="I12" s="465">
        <v>0.59852000000000005</v>
      </c>
      <c r="J12" s="465">
        <v>2.1215999999999999</v>
      </c>
      <c r="K12" s="465">
        <v>238.54783</v>
      </c>
      <c r="L12" s="464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OKE-kartáč dorazový samolepiací 6,7x4mm bielý</v>
      </c>
      <c r="C13" s="185">
        <f t="shared" si="1"/>
        <v>0.75216000000000005</v>
      </c>
      <c r="D13" s="409" t="s">
        <v>6757</v>
      </c>
      <c r="E13" s="409" t="s">
        <v>6758</v>
      </c>
      <c r="F13" s="409" t="s">
        <v>6759</v>
      </c>
      <c r="G13" s="409" t="s">
        <v>6760</v>
      </c>
      <c r="H13" s="465">
        <v>19.584</v>
      </c>
      <c r="I13" s="465">
        <v>0.75216000000000005</v>
      </c>
      <c r="J13" s="465">
        <v>3.2299099999999998</v>
      </c>
      <c r="K13" s="465">
        <v>360.05806999999999</v>
      </c>
      <c r="L13" s="464" t="s">
        <v>539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20208 brzda k lište Hide N a M</v>
      </c>
      <c r="C14" s="185">
        <f t="shared" si="1"/>
        <v>2.70635</v>
      </c>
      <c r="D14" s="409" t="s">
        <v>2990</v>
      </c>
      <c r="E14" s="409" t="s">
        <v>6179</v>
      </c>
      <c r="F14" s="409" t="s">
        <v>6180</v>
      </c>
      <c r="G14" s="409" t="s">
        <v>6181</v>
      </c>
      <c r="H14" s="465">
        <v>75.269779999999997</v>
      </c>
      <c r="I14" s="465">
        <v>2.70635</v>
      </c>
      <c r="J14" s="465">
        <v>12.1584</v>
      </c>
      <c r="K14" s="465">
        <v>1078.6514</v>
      </c>
      <c r="L14" s="464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vodiaci tŕň</v>
      </c>
      <c r="C15" s="185">
        <f t="shared" si="1"/>
        <v>0.75466</v>
      </c>
      <c r="D15" s="409" t="s">
        <v>3027</v>
      </c>
      <c r="E15" s="409" t="s">
        <v>6187</v>
      </c>
      <c r="F15" s="409" t="s">
        <v>1077</v>
      </c>
      <c r="G15" s="409" t="s">
        <v>6188</v>
      </c>
      <c r="H15" s="465">
        <v>20.007210000000001</v>
      </c>
      <c r="I15" s="465">
        <v>0.75466</v>
      </c>
      <c r="J15" s="465">
        <v>2.5746799999999999</v>
      </c>
      <c r="K15" s="465">
        <v>292.25380999999999</v>
      </c>
      <c r="L15" s="464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 kartáč dorazový samolepsiaci 6,7x12mm biely</v>
      </c>
      <c r="C16" s="185">
        <f t="shared" si="1"/>
        <v>0.88353999999999999</v>
      </c>
      <c r="D16" s="409" t="s">
        <v>6761</v>
      </c>
      <c r="E16" s="409" t="s">
        <v>6762</v>
      </c>
      <c r="F16" s="409" t="s">
        <v>6763</v>
      </c>
      <c r="G16" s="409" t="s">
        <v>6764</v>
      </c>
      <c r="H16" s="465">
        <v>22.819680000000002</v>
      </c>
      <c r="I16" s="465">
        <v>0.88353999999999999</v>
      </c>
      <c r="J16" s="465">
        <v>3.5848499999999999</v>
      </c>
      <c r="K16" s="465">
        <v>360.05806999999999</v>
      </c>
      <c r="L16" s="464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tesnenie na sklo 10/6,4mm</v>
      </c>
      <c r="C17" s="185">
        <f t="shared" si="1"/>
        <v>0.80669999999999997</v>
      </c>
      <c r="D17" s="409" t="s">
        <v>2988</v>
      </c>
      <c r="E17" s="409" t="s">
        <v>6177</v>
      </c>
      <c r="F17" s="409" t="s">
        <v>1095</v>
      </c>
      <c r="G17" s="409" t="s">
        <v>6178</v>
      </c>
      <c r="H17" s="465">
        <v>23.80818</v>
      </c>
      <c r="I17" s="465">
        <v>0.80669999999999997</v>
      </c>
      <c r="J17" s="465">
        <v>2.7501000000000002</v>
      </c>
      <c r="K17" s="465">
        <v>330.63301999999999</v>
      </c>
      <c r="L17" s="464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tesnenie na sklo 10,1/8mm</v>
      </c>
      <c r="C18" s="185">
        <f t="shared" si="1"/>
        <v>0.80669999999999997</v>
      </c>
      <c r="D18" s="409" t="s">
        <v>2837</v>
      </c>
      <c r="E18" s="409" t="s">
        <v>6168</v>
      </c>
      <c r="F18" s="409" t="s">
        <v>6169</v>
      </c>
      <c r="G18" s="409" t="s">
        <v>6170</v>
      </c>
      <c r="H18" s="465">
        <v>23.80818</v>
      </c>
      <c r="I18" s="465">
        <v>0.80669999999999997</v>
      </c>
      <c r="J18" s="465">
        <v>2.7501000000000002</v>
      </c>
      <c r="K18" s="465">
        <v>330.63301999999999</v>
      </c>
      <c r="L18" s="464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brzda guľatá spodná</v>
      </c>
      <c r="C19" s="185">
        <f t="shared" si="1"/>
        <v>1.1710199999999999</v>
      </c>
      <c r="D19" s="409" t="s">
        <v>2760</v>
      </c>
      <c r="E19" s="409" t="s">
        <v>6160</v>
      </c>
      <c r="F19" s="409" t="s">
        <v>6161</v>
      </c>
      <c r="G19" s="409" t="s">
        <v>6162</v>
      </c>
      <c r="H19" s="465">
        <v>31.045680000000001</v>
      </c>
      <c r="I19" s="465">
        <v>1.1710199999999999</v>
      </c>
      <c r="J19" s="465">
        <v>3.99519</v>
      </c>
      <c r="K19" s="465">
        <v>453.49741999999998</v>
      </c>
      <c r="L19" s="464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záslepka spodného vedenia Simple/Blue priesvitná, guma</v>
      </c>
      <c r="C20" s="185">
        <f t="shared" si="1"/>
        <v>1.01488</v>
      </c>
      <c r="D20" s="409" t="s">
        <v>3017</v>
      </c>
      <c r="E20" s="409" t="s">
        <v>6184</v>
      </c>
      <c r="F20" s="409" t="s">
        <v>6185</v>
      </c>
      <c r="G20" s="409" t="s">
        <v>6186</v>
      </c>
      <c r="H20" s="465">
        <v>29.95224</v>
      </c>
      <c r="I20" s="465">
        <v>1.01488</v>
      </c>
      <c r="J20" s="465">
        <v>3.4045299999999998</v>
      </c>
      <c r="K20" s="465">
        <v>415.95776999999998</v>
      </c>
      <c r="L20" s="464" t="s">
        <v>695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pozicionér pre horný vozík transparentný</v>
      </c>
      <c r="C21" s="185">
        <f t="shared" si="1"/>
        <v>1.0929500000000001</v>
      </c>
      <c r="D21" s="409" t="s">
        <v>3279</v>
      </c>
      <c r="E21" s="409" t="s">
        <v>6202</v>
      </c>
      <c r="F21" s="409" t="s">
        <v>6203</v>
      </c>
      <c r="G21" s="409" t="s">
        <v>6204</v>
      </c>
      <c r="H21" s="465">
        <v>32.256239999999998</v>
      </c>
      <c r="I21" s="465">
        <v>1.0929500000000001</v>
      </c>
      <c r="J21" s="465">
        <v>3.6623999999999999</v>
      </c>
      <c r="K21" s="465">
        <v>447.95440000000002</v>
      </c>
      <c r="L21" s="464" t="s">
        <v>695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9" t="e">
        <v>#N/A</v>
      </c>
      <c r="E22" s="409" t="e">
        <v>#N/A</v>
      </c>
      <c r="F22" s="409" t="e">
        <v>#N/A</v>
      </c>
      <c r="G22" s="409" t="e">
        <v>#N/A</v>
      </c>
      <c r="H22" s="465" t="e">
        <v>#N/A</v>
      </c>
      <c r="I22" s="465" t="e">
        <v>#N/A</v>
      </c>
      <c r="J22" s="465" t="e">
        <v>#N/A</v>
      </c>
      <c r="K22" s="465" t="e">
        <v>#N/A</v>
      </c>
      <c r="L22" s="464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Smart horný vozík</v>
      </c>
      <c r="C23" s="185">
        <f t="shared" si="1"/>
        <v>1.58738</v>
      </c>
      <c r="D23" s="409" t="s">
        <v>2751</v>
      </c>
      <c r="E23" s="409" t="s">
        <v>6154</v>
      </c>
      <c r="F23" s="409" t="s">
        <v>6155</v>
      </c>
      <c r="G23" s="409" t="s">
        <v>6156</v>
      </c>
      <c r="H23" s="465">
        <v>46.84836</v>
      </c>
      <c r="I23" s="465">
        <v>1.58738</v>
      </c>
      <c r="J23" s="465">
        <v>6.7144500000000003</v>
      </c>
      <c r="K23" s="465">
        <v>650.60053000000005</v>
      </c>
      <c r="L23" s="464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Smart spodný vozík</v>
      </c>
      <c r="C24" s="185">
        <f t="shared" si="1"/>
        <v>1.58738</v>
      </c>
      <c r="D24" s="409" t="s">
        <v>2752</v>
      </c>
      <c r="E24" s="409" t="s">
        <v>6157</v>
      </c>
      <c r="F24" s="409" t="s">
        <v>6158</v>
      </c>
      <c r="G24" s="409" t="s">
        <v>6159</v>
      </c>
      <c r="H24" s="465">
        <v>46.84836</v>
      </c>
      <c r="I24" s="465">
        <v>1.58738</v>
      </c>
      <c r="J24" s="465">
        <v>6.7144500000000003</v>
      </c>
      <c r="K24" s="465">
        <v>650.60053000000005</v>
      </c>
      <c r="L24" s="464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horný vozík Simple(18mm)symetr.(L+P)</v>
      </c>
      <c r="C25" s="185">
        <f t="shared" si="1"/>
        <v>2.16614</v>
      </c>
      <c r="D25" s="409" t="s">
        <v>3261</v>
      </c>
      <c r="E25" s="409" t="s">
        <v>6200</v>
      </c>
      <c r="F25" s="409" t="s">
        <v>1237</v>
      </c>
      <c r="G25" s="409" t="s">
        <v>6201</v>
      </c>
      <c r="H25" s="465">
        <v>60.943179999999998</v>
      </c>
      <c r="I25" s="465">
        <v>2.16614</v>
      </c>
      <c r="J25" s="465">
        <v>7.5828699999999998</v>
      </c>
      <c r="K25" s="465">
        <v>626.67796999999996</v>
      </c>
      <c r="L25" s="464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horné/spodné vedenie 1,7m surová</v>
      </c>
      <c r="C26" s="185">
        <f t="shared" si="1"/>
        <v>2.6022599999999998</v>
      </c>
      <c r="D26" s="409" t="s">
        <v>2652</v>
      </c>
      <c r="E26" s="409" t="s">
        <v>6142</v>
      </c>
      <c r="F26" s="409" t="s">
        <v>6143</v>
      </c>
      <c r="G26" s="409" t="s">
        <v>6144</v>
      </c>
      <c r="H26" s="465">
        <v>72.374799999999993</v>
      </c>
      <c r="I26" s="465">
        <v>2.6022599999999998</v>
      </c>
      <c r="J26" s="465">
        <v>8.9485100000000006</v>
      </c>
      <c r="K26" s="465">
        <v>1037.1649500000001</v>
      </c>
      <c r="L26" s="464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úhelník Mini 17x11mm 1,7m strieborný</v>
      </c>
      <c r="C27" s="185">
        <f t="shared" si="1"/>
        <v>2.4461200000000001</v>
      </c>
      <c r="D27" s="409" t="s">
        <v>6139</v>
      </c>
      <c r="E27" s="409" t="s">
        <v>6140</v>
      </c>
      <c r="F27" s="409" t="s">
        <v>6141</v>
      </c>
      <c r="G27" s="409" t="s">
        <v>2647</v>
      </c>
      <c r="H27" s="465">
        <v>68.032300000000006</v>
      </c>
      <c r="I27" s="465">
        <v>2.4461200000000001</v>
      </c>
      <c r="J27" s="465">
        <v>8.7942400000000003</v>
      </c>
      <c r="K27" s="465">
        <v>974.93489</v>
      </c>
      <c r="L27" s="464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tesnenie na sklo 18/4mm symetrické</v>
      </c>
      <c r="C28" s="185">
        <f t="shared" si="1"/>
        <v>2.3160099999999999</v>
      </c>
      <c r="D28" s="409" t="s">
        <v>2928</v>
      </c>
      <c r="E28" s="409" t="s">
        <v>6171</v>
      </c>
      <c r="F28" s="409" t="s">
        <v>6172</v>
      </c>
      <c r="G28" s="409" t="s">
        <v>6173</v>
      </c>
      <c r="H28" s="465">
        <v>68.352530000000002</v>
      </c>
      <c r="I28" s="465">
        <v>2.3160099999999999</v>
      </c>
      <c r="J28" s="465">
        <v>7.6425999999999998</v>
      </c>
      <c r="K28" s="465">
        <v>949.23690999999997</v>
      </c>
      <c r="L28" s="464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tesnenie na sklo 18/8mm symetrické</v>
      </c>
      <c r="C29" s="185">
        <f t="shared" si="1"/>
        <v>2.3160099999999999</v>
      </c>
      <c r="D29" s="409" t="s">
        <v>2929</v>
      </c>
      <c r="E29" s="409" t="s">
        <v>6174</v>
      </c>
      <c r="F29" s="409" t="s">
        <v>6175</v>
      </c>
      <c r="G29" s="409" t="s">
        <v>6176</v>
      </c>
      <c r="H29" s="465">
        <v>68.352530000000002</v>
      </c>
      <c r="I29" s="465">
        <v>2.3160099999999999</v>
      </c>
      <c r="J29" s="465">
        <v>7.6425999999999998</v>
      </c>
      <c r="K29" s="465">
        <v>949.23690999999997</v>
      </c>
      <c r="L29" s="464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spodný vozík Blue C rámový systém - 2ks</v>
      </c>
      <c r="C30" s="185">
        <f t="shared" si="1"/>
        <v>2.94055</v>
      </c>
      <c r="D30" s="409" t="s">
        <v>3385</v>
      </c>
      <c r="E30" s="409" t="s">
        <v>6210</v>
      </c>
      <c r="F30" s="409" t="s">
        <v>6211</v>
      </c>
      <c r="G30" s="409" t="s">
        <v>6212</v>
      </c>
      <c r="H30" s="465">
        <v>86.784660000000002</v>
      </c>
      <c r="I30" s="465">
        <v>2.94055</v>
      </c>
      <c r="J30" s="465">
        <v>15.66916</v>
      </c>
      <c r="K30" s="465">
        <v>1205.21075</v>
      </c>
      <c r="L30" s="464" t="s">
        <v>539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tesnenie na sklo 18/4-4,5mm asymetrické</v>
      </c>
      <c r="C31" s="185">
        <f t="shared" si="1"/>
        <v>2.3056100000000002</v>
      </c>
      <c r="D31" s="409" t="s">
        <v>2763</v>
      </c>
      <c r="E31" s="409" t="s">
        <v>6163</v>
      </c>
      <c r="F31" s="409" t="s">
        <v>6164</v>
      </c>
      <c r="G31" s="409" t="s">
        <v>6165</v>
      </c>
      <c r="H31" s="465">
        <v>68.352530000000002</v>
      </c>
      <c r="I31" s="465">
        <v>2.3056100000000002</v>
      </c>
      <c r="J31" s="465">
        <v>7.6425999999999998</v>
      </c>
      <c r="K31" s="465">
        <v>944.97055</v>
      </c>
      <c r="L31" s="464" t="s">
        <v>538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spodný vozík WD 18C HI-TEC</v>
      </c>
      <c r="C32" s="185">
        <f t="shared" si="1"/>
        <v>0</v>
      </c>
      <c r="D32" s="409" t="s">
        <v>2770</v>
      </c>
      <c r="E32" s="409" t="s">
        <v>6166</v>
      </c>
      <c r="F32" s="409" t="s">
        <v>1103</v>
      </c>
      <c r="G32" s="409" t="s">
        <v>6167</v>
      </c>
      <c r="H32" s="465">
        <v>0</v>
      </c>
      <c r="I32" s="465">
        <v>0</v>
      </c>
      <c r="J32" s="465">
        <v>0</v>
      </c>
      <c r="K32" s="465">
        <v>0</v>
      </c>
      <c r="L32" s="464" t="s">
        <v>540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str">
        <f t="shared" si="0"/>
        <v>SEVROLL spodný vozík DTD 18mm-2ks+pozicionér</v>
      </c>
      <c r="C33" s="185" t="e">
        <f t="shared" si="1"/>
        <v>#N/A</v>
      </c>
      <c r="D33" s="409" t="s">
        <v>6524</v>
      </c>
      <c r="E33" s="409" t="s">
        <v>6525</v>
      </c>
      <c r="F33" s="409" t="s">
        <v>6526</v>
      </c>
      <c r="G33" s="409" t="s">
        <v>6527</v>
      </c>
      <c r="H33" s="465" t="e">
        <v>#N/A</v>
      </c>
      <c r="I33" s="465" t="e">
        <v>#N/A</v>
      </c>
      <c r="J33" s="465" t="e">
        <v>#N/A</v>
      </c>
      <c r="K33" s="465" t="e">
        <v>#N/A</v>
      </c>
      <c r="L33" s="464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uholník Mini 17x11mm 1,7m zlatá</v>
      </c>
      <c r="C34" s="185">
        <f t="shared" si="1"/>
        <v>3.0706699999999998</v>
      </c>
      <c r="D34" s="409" t="s">
        <v>3574</v>
      </c>
      <c r="E34" s="409" t="s">
        <v>3575</v>
      </c>
      <c r="F34" s="409" t="s">
        <v>3576</v>
      </c>
      <c r="G34" s="409" t="s">
        <v>3577</v>
      </c>
      <c r="H34" s="465">
        <v>85.402270000000001</v>
      </c>
      <c r="I34" s="465">
        <v>3.0706699999999998</v>
      </c>
      <c r="J34" s="465">
        <v>10.55925</v>
      </c>
      <c r="K34" s="465">
        <v>1223.85472</v>
      </c>
      <c r="L34" s="464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horný vozík Blue (pro lamino 18mm) rámový L+P</v>
      </c>
      <c r="C35" s="185">
        <f t="shared" si="1"/>
        <v>3.64316</v>
      </c>
      <c r="D35" s="409" t="s">
        <v>3384</v>
      </c>
      <c r="E35" s="409" t="s">
        <v>3578</v>
      </c>
      <c r="F35" s="409" t="s">
        <v>3579</v>
      </c>
      <c r="G35" s="409" t="s">
        <v>3580</v>
      </c>
      <c r="H35" s="465">
        <v>107.52083</v>
      </c>
      <c r="I35" s="465">
        <v>3.64316</v>
      </c>
      <c r="J35" s="465">
        <v>15.244389999999999</v>
      </c>
      <c r="K35" s="465">
        <v>1493.1815999999999</v>
      </c>
      <c r="L35" s="464" t="s">
        <v>695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00903 uholník Mini 17x11mm 1,7m oliva</v>
      </c>
      <c r="C36" s="185">
        <f t="shared" si="1"/>
        <v>3.0706699999999998</v>
      </c>
      <c r="D36" s="409" t="s">
        <v>3581</v>
      </c>
      <c r="E36" s="409" t="s">
        <v>3582</v>
      </c>
      <c r="F36" s="409" t="s">
        <v>3583</v>
      </c>
      <c r="G36" s="409" t="s">
        <v>2646</v>
      </c>
      <c r="H36" s="465">
        <v>85.402270000000001</v>
      </c>
      <c r="I36" s="465">
        <v>3.0706699999999998</v>
      </c>
      <c r="J36" s="465">
        <v>10.55925</v>
      </c>
      <c r="K36" s="465">
        <v>1223.85472</v>
      </c>
      <c r="L36" s="464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horné/spodné vedenie 2,35m surová</v>
      </c>
      <c r="C37" s="185">
        <f t="shared" si="1"/>
        <v>3.61714</v>
      </c>
      <c r="D37" s="409" t="s">
        <v>2653</v>
      </c>
      <c r="E37" s="409" t="s">
        <v>3584</v>
      </c>
      <c r="F37" s="409" t="s">
        <v>3585</v>
      </c>
      <c r="G37" s="409" t="s">
        <v>3586</v>
      </c>
      <c r="H37" s="465">
        <v>100.60097</v>
      </c>
      <c r="I37" s="465">
        <v>3.61714</v>
      </c>
      <c r="J37" s="465">
        <v>12.43843</v>
      </c>
      <c r="K37" s="465">
        <v>1441.65932</v>
      </c>
      <c r="L37" s="464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str">
        <f t="shared" si="0"/>
        <v>SEVROLL 02557 profil "U" pro lamino 10mm 2m strieborná</v>
      </c>
      <c r="C38" s="185" t="e">
        <f t="shared" si="1"/>
        <v>#N/A</v>
      </c>
      <c r="D38" s="409" t="s">
        <v>2909</v>
      </c>
      <c r="E38" s="409" t="s">
        <v>3587</v>
      </c>
      <c r="F38" s="409" t="s">
        <v>3588</v>
      </c>
      <c r="G38" s="409" t="s">
        <v>3589</v>
      </c>
      <c r="H38" s="465" t="e">
        <v>#N/A</v>
      </c>
      <c r="I38" s="465" t="e">
        <v>#N/A</v>
      </c>
      <c r="J38" s="465" t="e">
        <v>#N/A</v>
      </c>
      <c r="K38" s="465" t="e">
        <v>#N/A</v>
      </c>
      <c r="L38" s="464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úhelník Mini 17x11mm 2,35m strieborný</v>
      </c>
      <c r="C39" s="185">
        <f t="shared" si="1"/>
        <v>3.3829400000000001</v>
      </c>
      <c r="D39" s="409" t="s">
        <v>3590</v>
      </c>
      <c r="E39" s="409" t="s">
        <v>3591</v>
      </c>
      <c r="F39" s="409" t="s">
        <v>3592</v>
      </c>
      <c r="G39" s="409" t="s">
        <v>3593</v>
      </c>
      <c r="H39" s="465">
        <v>94.087239999999994</v>
      </c>
      <c r="I39" s="465">
        <v>3.3829400000000001</v>
      </c>
      <c r="J39" s="465">
        <v>12.129440000000001</v>
      </c>
      <c r="K39" s="465">
        <v>1348.3144400000001</v>
      </c>
      <c r="L39" s="464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horný vozík Blue 10mm asymetrický L+P</v>
      </c>
      <c r="C40" s="185">
        <f t="shared" si="1"/>
        <v>3.64316</v>
      </c>
      <c r="D40" s="409" t="s">
        <v>3424</v>
      </c>
      <c r="E40" s="409" t="s">
        <v>3594</v>
      </c>
      <c r="F40" s="409" t="s">
        <v>3595</v>
      </c>
      <c r="G40" s="409" t="s">
        <v>3596</v>
      </c>
      <c r="H40" s="465">
        <v>107.52083</v>
      </c>
      <c r="I40" s="465">
        <v>3.64316</v>
      </c>
      <c r="J40" s="465">
        <v>15.244389999999999</v>
      </c>
      <c r="K40" s="465">
        <v>1493.1815999999999</v>
      </c>
      <c r="L40" s="464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horný vozík Blue (pro lamino 18mm) bezrámový L+P</v>
      </c>
      <c r="C41" s="185">
        <f t="shared" si="1"/>
        <v>3.64316</v>
      </c>
      <c r="D41" s="409" t="s">
        <v>3386</v>
      </c>
      <c r="E41" s="409" t="s">
        <v>3597</v>
      </c>
      <c r="F41" s="409" t="s">
        <v>3598</v>
      </c>
      <c r="G41" s="409" t="s">
        <v>3599</v>
      </c>
      <c r="H41" s="465">
        <v>107.52083</v>
      </c>
      <c r="I41" s="465">
        <v>3.64316</v>
      </c>
      <c r="J41" s="465">
        <v>12.22138</v>
      </c>
      <c r="K41" s="465">
        <v>1493.1815999999999</v>
      </c>
      <c r="L41" s="464" t="s">
        <v>695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uholník Mini 17x11mm 1,7m biela lesk</v>
      </c>
      <c r="C42" s="185">
        <f t="shared" si="1"/>
        <v>3.17476</v>
      </c>
      <c r="D42" s="409" t="s">
        <v>3600</v>
      </c>
      <c r="E42" s="409" t="s">
        <v>3601</v>
      </c>
      <c r="F42" s="409" t="s">
        <v>3602</v>
      </c>
      <c r="G42" s="409" t="s">
        <v>3603</v>
      </c>
      <c r="H42" s="465">
        <v>88.297250000000005</v>
      </c>
      <c r="I42" s="465">
        <v>3.17476</v>
      </c>
      <c r="J42" s="465">
        <v>12.2094</v>
      </c>
      <c r="K42" s="465">
        <v>1265.3411599999999</v>
      </c>
      <c r="L42" s="464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9" t="e">
        <v>#N/A</v>
      </c>
      <c r="E43" s="409" t="e">
        <v>#N/A</v>
      </c>
      <c r="F43" s="409" t="e">
        <v>#N/A</v>
      </c>
      <c r="G43" s="409" t="e">
        <v>#N/A</v>
      </c>
      <c r="H43" s="465" t="e">
        <v>#N/A</v>
      </c>
      <c r="I43" s="465" t="e">
        <v>#N/A</v>
      </c>
      <c r="J43" s="465" t="e">
        <v>#N/A</v>
      </c>
      <c r="K43" s="465" t="e">
        <v>#N/A</v>
      </c>
      <c r="L43" s="464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profil "U" Mini na DTD 18mm 3m strieborná</v>
      </c>
      <c r="C44" s="185">
        <f t="shared" si="1"/>
        <v>3.7212299999999998</v>
      </c>
      <c r="D44" s="409" t="s">
        <v>3001</v>
      </c>
      <c r="E44" s="409" t="s">
        <v>3604</v>
      </c>
      <c r="F44" s="409" t="s">
        <v>3605</v>
      </c>
      <c r="G44" s="409" t="s">
        <v>3606</v>
      </c>
      <c r="H44" s="465">
        <v>103.49594999999999</v>
      </c>
      <c r="I44" s="465">
        <v>3.7212299999999998</v>
      </c>
      <c r="J44" s="465">
        <v>12.79637</v>
      </c>
      <c r="K44" s="465">
        <v>1483.1457600000001</v>
      </c>
      <c r="L44" s="464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278 UHOLNÍK K2 1,70M OLIVOVÁ</v>
      </c>
      <c r="C45" s="185">
        <f t="shared" si="1"/>
        <v>4.29373</v>
      </c>
      <c r="D45" s="409" t="s">
        <v>2694</v>
      </c>
      <c r="E45" s="409" t="s">
        <v>3607</v>
      </c>
      <c r="F45" s="409" t="s">
        <v>3608</v>
      </c>
      <c r="G45" s="409" t="s">
        <v>3609</v>
      </c>
      <c r="H45" s="465">
        <v>119.41843</v>
      </c>
      <c r="I45" s="465">
        <v>4.29373</v>
      </c>
      <c r="J45" s="465">
        <v>14.76505</v>
      </c>
      <c r="K45" s="465">
        <v>1711.3223800000001</v>
      </c>
      <c r="L45" s="464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maska Elegant II 1,7m biela lesk</v>
      </c>
      <c r="C46" s="185">
        <f t="shared" si="1"/>
        <v>3.3308900000000001</v>
      </c>
      <c r="D46" s="409" t="s">
        <v>3333</v>
      </c>
      <c r="E46" s="409" t="s">
        <v>3610</v>
      </c>
      <c r="F46" s="409" t="s">
        <v>3611</v>
      </c>
      <c r="G46" s="409" t="s">
        <v>3612</v>
      </c>
      <c r="H46" s="465">
        <v>92.639750000000006</v>
      </c>
      <c r="I46" s="465">
        <v>3.3308900000000001</v>
      </c>
      <c r="J46" s="465">
        <v>12.199199999999999</v>
      </c>
      <c r="K46" s="465">
        <v>1327.57123</v>
      </c>
      <c r="L46" s="464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horné/spodné vedenie 1,7m oliva</v>
      </c>
      <c r="C47" s="185">
        <f t="shared" si="1"/>
        <v>4.0074800000000002</v>
      </c>
      <c r="D47" s="409" t="s">
        <v>2930</v>
      </c>
      <c r="E47" s="409" t="s">
        <v>3613</v>
      </c>
      <c r="F47" s="409" t="s">
        <v>3614</v>
      </c>
      <c r="G47" s="409" t="s">
        <v>3615</v>
      </c>
      <c r="H47" s="465">
        <v>111.45717999999999</v>
      </c>
      <c r="I47" s="465">
        <v>4.0074800000000002</v>
      </c>
      <c r="J47" s="465">
        <v>13.780720000000001</v>
      </c>
      <c r="K47" s="465">
        <v>1597.23387</v>
      </c>
      <c r="L47" s="464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dištančný profil 04 3m strieborná</v>
      </c>
      <c r="C48" s="185">
        <f t="shared" si="1"/>
        <v>3.5911200000000001</v>
      </c>
      <c r="D48" s="409" t="s">
        <v>3351</v>
      </c>
      <c r="E48" s="409" t="s">
        <v>3616</v>
      </c>
      <c r="F48" s="409" t="s">
        <v>3617</v>
      </c>
      <c r="G48" s="409" t="s">
        <v>68</v>
      </c>
      <c r="H48" s="465">
        <v>99.877229999999997</v>
      </c>
      <c r="I48" s="465">
        <v>3.5911200000000001</v>
      </c>
      <c r="J48" s="465">
        <v>12.5154</v>
      </c>
      <c r="K48" s="465">
        <v>1431.2877100000001</v>
      </c>
      <c r="L48" s="464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SMART SPODNÉ VEDENIE 1,7M STRIE.</v>
      </c>
      <c r="C49" s="185">
        <f t="shared" si="1"/>
        <v>3.9033899999999999</v>
      </c>
      <c r="D49" s="409" t="s">
        <v>2732</v>
      </c>
      <c r="E49" s="409" t="s">
        <v>3618</v>
      </c>
      <c r="F49" s="409" t="s">
        <v>3619</v>
      </c>
      <c r="G49" s="409" t="s">
        <v>3620</v>
      </c>
      <c r="H49" s="465">
        <v>108.5622</v>
      </c>
      <c r="I49" s="465">
        <v>3.9033899999999999</v>
      </c>
      <c r="J49" s="465">
        <v>14.2188</v>
      </c>
      <c r="K49" s="465">
        <v>1555.7474299999999</v>
      </c>
      <c r="L49" s="464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okrasná lišta S10 3m strieborná</v>
      </c>
      <c r="C50" s="185">
        <f t="shared" si="1"/>
        <v>3.40896</v>
      </c>
      <c r="D50" s="409" t="s">
        <v>2852</v>
      </c>
      <c r="E50" s="409" t="s">
        <v>3621</v>
      </c>
      <c r="F50" s="409" t="s">
        <v>1219</v>
      </c>
      <c r="G50" s="409" t="s">
        <v>3622</v>
      </c>
      <c r="H50" s="465">
        <v>94.810980000000001</v>
      </c>
      <c r="I50" s="465">
        <v>3.40896</v>
      </c>
      <c r="J50" s="465">
        <v>12.0054</v>
      </c>
      <c r="K50" s="465">
        <v>1358.68604</v>
      </c>
      <c r="L50" s="464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278 UHOLNÍK K2 1,70M STRIEBORNÁ</v>
      </c>
      <c r="C51" s="185">
        <f t="shared" si="1"/>
        <v>3.4349799999999999</v>
      </c>
      <c r="D51" s="409" t="s">
        <v>2693</v>
      </c>
      <c r="E51" s="409" t="s">
        <v>3623</v>
      </c>
      <c r="F51" s="409" t="s">
        <v>3624</v>
      </c>
      <c r="G51" s="409" t="s">
        <v>2693</v>
      </c>
      <c r="H51" s="465">
        <v>95.534729999999996</v>
      </c>
      <c r="I51" s="465">
        <v>3.4349799999999999</v>
      </c>
      <c r="J51" s="465">
        <v>12.046200000000001</v>
      </c>
      <c r="K51" s="465">
        <v>1369.0576699999999</v>
      </c>
      <c r="L51" s="464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Micra horn/spod.vedenie 1,7m str.elo</v>
      </c>
      <c r="C52" s="185">
        <f t="shared" si="1"/>
        <v>3.3569200000000001</v>
      </c>
      <c r="D52" s="409" t="s">
        <v>2649</v>
      </c>
      <c r="E52" s="409" t="s">
        <v>3625</v>
      </c>
      <c r="F52" s="409" t="s">
        <v>1226</v>
      </c>
      <c r="G52" s="409" t="s">
        <v>3626</v>
      </c>
      <c r="H52" s="465">
        <v>93.363489999999999</v>
      </c>
      <c r="I52" s="465">
        <v>3.3569200000000001</v>
      </c>
      <c r="J52" s="465">
        <v>11.699400000000001</v>
      </c>
      <c r="K52" s="465">
        <v>1337.94283</v>
      </c>
      <c r="L52" s="464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spodný vozík Simple (bezrámový 18mm) - 2ks</v>
      </c>
      <c r="C53" s="185">
        <f t="shared" si="1"/>
        <v>4.1375900000000003</v>
      </c>
      <c r="D53" s="409" t="s">
        <v>3160</v>
      </c>
      <c r="E53" s="409" t="s">
        <v>3627</v>
      </c>
      <c r="F53" s="409" t="s">
        <v>3628</v>
      </c>
      <c r="G53" s="409" t="s">
        <v>3629</v>
      </c>
      <c r="H53" s="465">
        <v>122.11295</v>
      </c>
      <c r="I53" s="465">
        <v>4.1375900000000003</v>
      </c>
      <c r="J53" s="465">
        <v>13.88</v>
      </c>
      <c r="K53" s="465">
        <v>1695.82772</v>
      </c>
      <c r="L53" s="464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horné/spodné vedenie 3m surová</v>
      </c>
      <c r="C54" s="185">
        <f t="shared" si="1"/>
        <v>4.6059999999999999</v>
      </c>
      <c r="D54" s="409" t="s">
        <v>2654</v>
      </c>
      <c r="E54" s="409" t="s">
        <v>3630</v>
      </c>
      <c r="F54" s="409" t="s">
        <v>3631</v>
      </c>
      <c r="G54" s="409" t="s">
        <v>3632</v>
      </c>
      <c r="H54" s="465">
        <v>128.10339999999999</v>
      </c>
      <c r="I54" s="465">
        <v>4.6059999999999999</v>
      </c>
      <c r="J54" s="465">
        <v>15.83888</v>
      </c>
      <c r="K54" s="465">
        <v>1835.78208</v>
      </c>
      <c r="L54" s="464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00904 uholník Mini 17x11mm 2,35m oliva</v>
      </c>
      <c r="C55" s="185">
        <f t="shared" si="1"/>
        <v>4.2286700000000002</v>
      </c>
      <c r="D55" s="409" t="s">
        <v>3633</v>
      </c>
      <c r="E55" s="409" t="s">
        <v>3634</v>
      </c>
      <c r="F55" s="409" t="s">
        <v>3635</v>
      </c>
      <c r="G55" s="409" t="s">
        <v>2648</v>
      </c>
      <c r="H55" s="465">
        <v>117.97091</v>
      </c>
      <c r="I55" s="465">
        <v>4.2286700000000002</v>
      </c>
      <c r="J55" s="465">
        <v>14.586069999999999</v>
      </c>
      <c r="K55" s="465">
        <v>1690.5787499999999</v>
      </c>
      <c r="L55" s="464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uholník Mini 17x11mm 2,35m zlatá</v>
      </c>
      <c r="C56" s="185">
        <f t="shared" si="1"/>
        <v>4.2286700000000002</v>
      </c>
      <c r="D56" s="409" t="s">
        <v>3636</v>
      </c>
      <c r="E56" s="409" t="s">
        <v>3637</v>
      </c>
      <c r="F56" s="409" t="s">
        <v>3638</v>
      </c>
      <c r="G56" s="409" t="s">
        <v>3639</v>
      </c>
      <c r="H56" s="465">
        <v>117.97091</v>
      </c>
      <c r="I56" s="465">
        <v>4.2286700000000002</v>
      </c>
      <c r="J56" s="465">
        <v>14.586069999999999</v>
      </c>
      <c r="K56" s="465">
        <v>1690.5787499999999</v>
      </c>
      <c r="L56" s="464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úhelník Mini 17x11mm 3m strieborný</v>
      </c>
      <c r="C57" s="185">
        <f t="shared" si="1"/>
        <v>4.31975</v>
      </c>
      <c r="D57" s="409" t="s">
        <v>3640</v>
      </c>
      <c r="E57" s="409" t="s">
        <v>3641</v>
      </c>
      <c r="F57" s="409" t="s">
        <v>3642</v>
      </c>
      <c r="G57" s="409" t="s">
        <v>3643</v>
      </c>
      <c r="H57" s="465">
        <v>120.14218</v>
      </c>
      <c r="I57" s="465">
        <v>4.31975</v>
      </c>
      <c r="J57" s="465">
        <v>15.49611</v>
      </c>
      <c r="K57" s="465">
        <v>1721.69399</v>
      </c>
      <c r="L57" s="464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profil "U" Mini na DTD 18mm oliva 3m</v>
      </c>
      <c r="C58" s="185">
        <f t="shared" si="1"/>
        <v>4.6580500000000002</v>
      </c>
      <c r="D58" s="409" t="s">
        <v>3296</v>
      </c>
      <c r="E58" s="409" t="s">
        <v>3644</v>
      </c>
      <c r="F58" s="409" t="s">
        <v>1109</v>
      </c>
      <c r="G58" s="409" t="s">
        <v>3645</v>
      </c>
      <c r="H58" s="465">
        <v>129.55089000000001</v>
      </c>
      <c r="I58" s="465">
        <v>4.6580500000000002</v>
      </c>
      <c r="J58" s="465">
        <v>16.01784</v>
      </c>
      <c r="K58" s="465">
        <v>1856.52531</v>
      </c>
      <c r="L58" s="464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maska Elegant II 1,7m čierna  kartáčovaná</v>
      </c>
      <c r="C59" s="185">
        <f t="shared" si="1"/>
        <v>4.6580500000000002</v>
      </c>
      <c r="D59" s="409" t="s">
        <v>3355</v>
      </c>
      <c r="E59" s="409" t="s">
        <v>3646</v>
      </c>
      <c r="F59" s="409" t="s">
        <v>3647</v>
      </c>
      <c r="G59" s="409" t="s">
        <v>3648</v>
      </c>
      <c r="H59" s="465">
        <v>129.55089000000001</v>
      </c>
      <c r="I59" s="465">
        <v>4.6580500000000002</v>
      </c>
      <c r="J59" s="465">
        <v>16.01784</v>
      </c>
      <c r="K59" s="465">
        <v>1856.52531</v>
      </c>
      <c r="L59" s="464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maska Elegant II 1,7m oliva kartáčovaná</v>
      </c>
      <c r="C60" s="185">
        <f t="shared" si="1"/>
        <v>4.6580500000000002</v>
      </c>
      <c r="D60" s="409" t="s">
        <v>3353</v>
      </c>
      <c r="E60" s="409" t="s">
        <v>3649</v>
      </c>
      <c r="F60" s="409" t="s">
        <v>3353</v>
      </c>
      <c r="G60" s="409" t="s">
        <v>3650</v>
      </c>
      <c r="H60" s="465">
        <v>129.55089000000001</v>
      </c>
      <c r="I60" s="465">
        <v>4.6580500000000002</v>
      </c>
      <c r="J60" s="465">
        <v>16.01784</v>
      </c>
      <c r="K60" s="465">
        <v>1856.52531</v>
      </c>
      <c r="L60" s="464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maska Elegant II 1,7m oliva tmavá kartáčovaná</v>
      </c>
      <c r="C61" s="185">
        <f t="shared" si="1"/>
        <v>4.6580500000000002</v>
      </c>
      <c r="D61" s="409" t="s">
        <v>3354</v>
      </c>
      <c r="E61" s="409" t="s">
        <v>3651</v>
      </c>
      <c r="F61" s="409" t="s">
        <v>3354</v>
      </c>
      <c r="G61" s="409" t="s">
        <v>3652</v>
      </c>
      <c r="H61" s="465">
        <v>129.55089000000001</v>
      </c>
      <c r="I61" s="465">
        <v>4.6580500000000002</v>
      </c>
      <c r="J61" s="465">
        <v>16.01784</v>
      </c>
      <c r="K61" s="465">
        <v>1856.52531</v>
      </c>
      <c r="L61" s="464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uholník K2 1,7m čierna kartáčovaná</v>
      </c>
      <c r="C62" s="185">
        <f t="shared" si="1"/>
        <v>4.8922499999999998</v>
      </c>
      <c r="D62" s="409" t="s">
        <v>3045</v>
      </c>
      <c r="E62" s="409" t="s">
        <v>3653</v>
      </c>
      <c r="F62" s="409" t="s">
        <v>3654</v>
      </c>
      <c r="G62" s="409" t="s">
        <v>3655</v>
      </c>
      <c r="H62" s="465">
        <v>136.06462999999999</v>
      </c>
      <c r="I62" s="465">
        <v>4.8922499999999998</v>
      </c>
      <c r="J62" s="465">
        <v>16.82321</v>
      </c>
      <c r="K62" s="465">
        <v>1949.8701900000001</v>
      </c>
      <c r="L62" s="464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spodný vozík Blue C bezrámový pre 18mm - 2ks</v>
      </c>
      <c r="C63" s="185">
        <f t="shared" si="1"/>
        <v>4.8141800000000003</v>
      </c>
      <c r="D63" s="409" t="s">
        <v>3388</v>
      </c>
      <c r="E63" s="409" t="s">
        <v>3656</v>
      </c>
      <c r="F63" s="409" t="s">
        <v>3657</v>
      </c>
      <c r="G63" s="409" t="s">
        <v>3658</v>
      </c>
      <c r="H63" s="465">
        <v>142.08112</v>
      </c>
      <c r="I63" s="465">
        <v>4.8141800000000003</v>
      </c>
      <c r="J63" s="465">
        <v>16.911989999999999</v>
      </c>
      <c r="K63" s="465">
        <v>1973.1330399999999</v>
      </c>
      <c r="L63" s="464" t="s">
        <v>539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brzda gumová horná</v>
      </c>
      <c r="C64" s="185">
        <f t="shared" si="1"/>
        <v>3.9554399999999998</v>
      </c>
      <c r="D64" s="409" t="s">
        <v>2759</v>
      </c>
      <c r="E64" s="409" t="s">
        <v>3659</v>
      </c>
      <c r="F64" s="409" t="s">
        <v>3660</v>
      </c>
      <c r="G64" s="409" t="s">
        <v>3661</v>
      </c>
      <c r="H64" s="465">
        <v>104.86535000000001</v>
      </c>
      <c r="I64" s="465">
        <v>3.9554399999999998</v>
      </c>
      <c r="J64" s="465">
        <v>13.49484</v>
      </c>
      <c r="K64" s="465">
        <v>1531.81277</v>
      </c>
      <c r="L64" s="464" t="s">
        <v>539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okrasná lišta S10 3m oliva</v>
      </c>
      <c r="C65" s="185">
        <f t="shared" si="1"/>
        <v>4.2677100000000001</v>
      </c>
      <c r="D65" s="409" t="s">
        <v>2853</v>
      </c>
      <c r="E65" s="409" t="s">
        <v>3662</v>
      </c>
      <c r="F65" s="409" t="s">
        <v>1220</v>
      </c>
      <c r="G65" s="409" t="s">
        <v>3663</v>
      </c>
      <c r="H65" s="465">
        <v>118.69466</v>
      </c>
      <c r="I65" s="465">
        <v>4.2677100000000001</v>
      </c>
      <c r="J65" s="465">
        <v>14.675560000000001</v>
      </c>
      <c r="K65" s="465">
        <v>1700.95036</v>
      </c>
      <c r="L65" s="464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uholník 10x10mm 3m strieborná</v>
      </c>
      <c r="C66" s="185">
        <f t="shared" si="1"/>
        <v>4.1636199999999999</v>
      </c>
      <c r="D66" s="409" t="s">
        <v>3209</v>
      </c>
      <c r="E66" s="409" t="s">
        <v>3664</v>
      </c>
      <c r="F66" s="409" t="s">
        <v>3665</v>
      </c>
      <c r="G66" s="409" t="s">
        <v>3666</v>
      </c>
      <c r="H66" s="465">
        <v>115.79968</v>
      </c>
      <c r="I66" s="465">
        <v>4.1636199999999999</v>
      </c>
      <c r="J66" s="465">
        <v>15.2898</v>
      </c>
      <c r="K66" s="465">
        <v>1659.4639199999999</v>
      </c>
      <c r="L66" s="464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uholník Mini 17x11mm 2,35m biela lesk</v>
      </c>
      <c r="C67" s="185">
        <f t="shared" si="1"/>
        <v>4.3978200000000003</v>
      </c>
      <c r="D67" s="409" t="s">
        <v>3667</v>
      </c>
      <c r="E67" s="409" t="s">
        <v>3668</v>
      </c>
      <c r="F67" s="409" t="s">
        <v>3669</v>
      </c>
      <c r="G67" s="409" t="s">
        <v>3670</v>
      </c>
      <c r="H67" s="465">
        <v>122.31341</v>
      </c>
      <c r="I67" s="465">
        <v>4.3978200000000003</v>
      </c>
      <c r="J67" s="465">
        <v>16.901399999999999</v>
      </c>
      <c r="K67" s="465">
        <v>1752.8088</v>
      </c>
      <c r="L67" s="464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spodné vedenie 1,5m strieborná</v>
      </c>
      <c r="C68" s="185">
        <f t="shared" ref="C68:C131" si="3">IF($A$2=1,H68,IF($A$2=2,I68,IF($A$2=3,J68,IF($A$2=4,K68,IF($A$2&gt;4,O68,"zadat jazyk")))))</f>
        <v>5.3086099999999998</v>
      </c>
      <c r="D68" s="409" t="s">
        <v>3413</v>
      </c>
      <c r="E68" s="409" t="s">
        <v>3671</v>
      </c>
      <c r="F68" s="409" t="s">
        <v>3672</v>
      </c>
      <c r="G68" s="409" t="s">
        <v>3673</v>
      </c>
      <c r="H68" s="465">
        <v>146.05128999999999</v>
      </c>
      <c r="I68" s="465">
        <v>5.3086099999999998</v>
      </c>
      <c r="J68" s="465">
        <v>21.61589</v>
      </c>
      <c r="K68" s="465">
        <v>2158.6466399999999</v>
      </c>
      <c r="L68" s="464" t="s">
        <v>539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profil "U" pre DTD 18mm 3m striebor</v>
      </c>
      <c r="C69" s="185">
        <f t="shared" si="3"/>
        <v>4.7621399999999996</v>
      </c>
      <c r="D69" s="409" t="s">
        <v>2684</v>
      </c>
      <c r="E69" s="409" t="s">
        <v>3674</v>
      </c>
      <c r="F69" s="409" t="s">
        <v>1215</v>
      </c>
      <c r="G69" s="409" t="s">
        <v>3675</v>
      </c>
      <c r="H69" s="465">
        <v>132.44587000000001</v>
      </c>
      <c r="I69" s="465">
        <v>4.7621399999999996</v>
      </c>
      <c r="J69" s="465">
        <v>16.375779999999999</v>
      </c>
      <c r="K69" s="465">
        <v>1898.0117499999999</v>
      </c>
      <c r="L69" s="464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úholník K2 1,7m oliva tmavá kartáčovaná</v>
      </c>
      <c r="C70" s="185">
        <f t="shared" si="3"/>
        <v>4.8922499999999998</v>
      </c>
      <c r="D70" s="409" t="s">
        <v>3037</v>
      </c>
      <c r="E70" s="409" t="s">
        <v>3676</v>
      </c>
      <c r="F70" s="409" t="s">
        <v>3677</v>
      </c>
      <c r="G70" s="409" t="s">
        <v>3678</v>
      </c>
      <c r="H70" s="465">
        <v>136.06462999999999</v>
      </c>
      <c r="I70" s="465">
        <v>4.8922499999999998</v>
      </c>
      <c r="J70" s="465">
        <v>16.82321</v>
      </c>
      <c r="K70" s="465">
        <v>1949.8701900000001</v>
      </c>
      <c r="L70" s="464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uholník K2 Decor 1,7m oliva kartáčov</v>
      </c>
      <c r="C71" s="185">
        <f t="shared" si="3"/>
        <v>4.8922499999999998</v>
      </c>
      <c r="D71" s="409" t="s">
        <v>2937</v>
      </c>
      <c r="E71" s="409" t="s">
        <v>3679</v>
      </c>
      <c r="F71" s="409" t="s">
        <v>1197</v>
      </c>
      <c r="G71" s="409" t="s">
        <v>3680</v>
      </c>
      <c r="H71" s="465">
        <v>136.06462999999999</v>
      </c>
      <c r="I71" s="465">
        <v>4.8922499999999998</v>
      </c>
      <c r="J71" s="465">
        <v>16.82321</v>
      </c>
      <c r="K71" s="465">
        <v>1949.8701900000001</v>
      </c>
      <c r="L71" s="464" t="s">
        <v>538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spodný vozík Blue V bezrámový pre 18mm - 2ks</v>
      </c>
      <c r="C72" s="185">
        <f t="shared" si="3"/>
        <v>4.8141800000000003</v>
      </c>
      <c r="D72" s="409" t="s">
        <v>3387</v>
      </c>
      <c r="E72" s="409" t="s">
        <v>3681</v>
      </c>
      <c r="F72" s="409" t="s">
        <v>3682</v>
      </c>
      <c r="G72" s="409" t="s">
        <v>3683</v>
      </c>
      <c r="H72" s="465">
        <v>142.08112</v>
      </c>
      <c r="I72" s="465">
        <v>4.8141800000000003</v>
      </c>
      <c r="J72" s="465">
        <v>17.35249</v>
      </c>
      <c r="K72" s="465">
        <v>1973.1330399999999</v>
      </c>
      <c r="L72" s="464" t="s">
        <v>695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horné/spodné vedenie 1,2m oliva</v>
      </c>
      <c r="C73" s="185">
        <f t="shared" si="3"/>
        <v>5.8290600000000001</v>
      </c>
      <c r="D73" s="409" t="s">
        <v>2762</v>
      </c>
      <c r="E73" s="409" t="s">
        <v>3684</v>
      </c>
      <c r="F73" s="409" t="s">
        <v>3685</v>
      </c>
      <c r="G73" s="409" t="s">
        <v>3686</v>
      </c>
      <c r="H73" s="465">
        <v>162.11954</v>
      </c>
      <c r="I73" s="465">
        <v>5.8290600000000001</v>
      </c>
      <c r="J73" s="465">
        <v>21.725999999999999</v>
      </c>
      <c r="K73" s="465">
        <v>2323.2493199999999</v>
      </c>
      <c r="L73" s="464" t="s">
        <v>539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horné/spodné vedenie 1,2m strieborná</v>
      </c>
      <c r="C74" s="185">
        <f t="shared" si="3"/>
        <v>5.25657</v>
      </c>
      <c r="D74" s="409" t="s">
        <v>2757</v>
      </c>
      <c r="E74" s="409" t="s">
        <v>3687</v>
      </c>
      <c r="F74" s="409" t="s">
        <v>3688</v>
      </c>
      <c r="G74" s="409" t="s">
        <v>3689</v>
      </c>
      <c r="H74" s="465">
        <v>146.19709</v>
      </c>
      <c r="I74" s="465">
        <v>5.25657</v>
      </c>
      <c r="J74" s="465">
        <v>19.757400000000001</v>
      </c>
      <c r="K74" s="465">
        <v>2095.07312</v>
      </c>
      <c r="L74" s="464" t="s">
        <v>539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dištančný profil 04 3m biela lesk</v>
      </c>
      <c r="C75" s="185">
        <f t="shared" si="3"/>
        <v>4.66845</v>
      </c>
      <c r="D75" s="409" t="s">
        <v>3352</v>
      </c>
      <c r="E75" s="409" t="s">
        <v>3690</v>
      </c>
      <c r="F75" s="409" t="s">
        <v>3691</v>
      </c>
      <c r="G75" s="409" t="s">
        <v>68</v>
      </c>
      <c r="H75" s="465">
        <v>129.55089000000001</v>
      </c>
      <c r="I75" s="465">
        <v>4.66845</v>
      </c>
      <c r="J75" s="465">
        <v>16.289400000000001</v>
      </c>
      <c r="K75" s="465">
        <v>1856.52531</v>
      </c>
      <c r="L75" s="464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spodný vozík pre lamino 18mm bez pozicionéru bez pružiny</v>
      </c>
      <c r="C76" s="185">
        <f t="shared" si="3"/>
        <v>4.9182699999999997</v>
      </c>
      <c r="D76" s="409" t="s">
        <v>3440</v>
      </c>
      <c r="E76" s="409" t="s">
        <v>3692</v>
      </c>
      <c r="F76" s="409" t="s">
        <v>3693</v>
      </c>
      <c r="G76" s="409" t="s">
        <v>3694</v>
      </c>
      <c r="H76" s="465">
        <v>145.15313</v>
      </c>
      <c r="I76" s="465">
        <v>4.9182699999999997</v>
      </c>
      <c r="J76" s="465">
        <v>18.35596</v>
      </c>
      <c r="K76" s="465">
        <v>2015.79521</v>
      </c>
      <c r="L76" s="464" t="s">
        <v>695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profil "U" pro lamino 10mm 3m strieborná</v>
      </c>
      <c r="C77" s="185">
        <f t="shared" si="3"/>
        <v>4.9703200000000001</v>
      </c>
      <c r="D77" s="409" t="s">
        <v>2910</v>
      </c>
      <c r="E77" s="409" t="s">
        <v>3695</v>
      </c>
      <c r="F77" s="409" t="s">
        <v>3696</v>
      </c>
      <c r="G77" s="409" t="s">
        <v>3697</v>
      </c>
      <c r="H77" s="465">
        <v>138.23586</v>
      </c>
      <c r="I77" s="465">
        <v>4.9703200000000001</v>
      </c>
      <c r="J77" s="465">
        <v>17.091660000000001</v>
      </c>
      <c r="K77" s="465">
        <v>1980.9850300000001</v>
      </c>
      <c r="L77" s="464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maska Elegant II 2,35m biela lesk</v>
      </c>
      <c r="C78" s="185">
        <f t="shared" si="3"/>
        <v>4.6059999999999999</v>
      </c>
      <c r="D78" s="409" t="s">
        <v>3336</v>
      </c>
      <c r="E78" s="409" t="s">
        <v>3698</v>
      </c>
      <c r="F78" s="409" t="s">
        <v>3699</v>
      </c>
      <c r="G78" s="409" t="s">
        <v>3700</v>
      </c>
      <c r="H78" s="465">
        <v>128.10339999999999</v>
      </c>
      <c r="I78" s="465">
        <v>4.6059999999999999</v>
      </c>
      <c r="J78" s="465">
        <v>16.870799999999999</v>
      </c>
      <c r="K78" s="465">
        <v>1835.78208</v>
      </c>
      <c r="L78" s="464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str">
        <f t="shared" si="2"/>
        <v>SEVROLL uholník K2 Decor 2,35m zlatá</v>
      </c>
      <c r="C79" s="185" t="e">
        <f t="shared" si="3"/>
        <v>#N/A</v>
      </c>
      <c r="D79" s="409" t="s">
        <v>2696</v>
      </c>
      <c r="E79" s="409" t="s">
        <v>3701</v>
      </c>
      <c r="F79" s="409" t="s">
        <v>1091</v>
      </c>
      <c r="G79" s="409" t="s">
        <v>3702</v>
      </c>
      <c r="H79" s="465" t="e">
        <v>#N/A</v>
      </c>
      <c r="I79" s="465" t="e">
        <v>#N/A</v>
      </c>
      <c r="J79" s="465" t="e">
        <v>#N/A</v>
      </c>
      <c r="K79" s="465" t="e">
        <v>#N/A</v>
      </c>
      <c r="L79" s="464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Hide M spodné vedenie 1,7m strieborná</v>
      </c>
      <c r="C80" s="185">
        <f t="shared" si="3"/>
        <v>4.9442899999999996</v>
      </c>
      <c r="D80" s="409" t="s">
        <v>3312</v>
      </c>
      <c r="E80" s="409" t="s">
        <v>3703</v>
      </c>
      <c r="F80" s="409" t="s">
        <v>3704</v>
      </c>
      <c r="G80" s="409" t="s">
        <v>3705</v>
      </c>
      <c r="H80" s="465">
        <v>131.08169000000001</v>
      </c>
      <c r="I80" s="465">
        <v>4.9442899999999996</v>
      </c>
      <c r="J80" s="465">
        <v>16.868539999999999</v>
      </c>
      <c r="K80" s="465">
        <v>1914.7660599999999</v>
      </c>
      <c r="L80" s="464" t="s">
        <v>539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str">
        <f t="shared" si="2"/>
        <v>SEVROLL bočná krytka krycí profil Herkules Glas</v>
      </c>
      <c r="C81" s="185" t="e">
        <f t="shared" si="3"/>
        <v>#N/A</v>
      </c>
      <c r="D81" s="409" t="s">
        <v>3163</v>
      </c>
      <c r="E81" s="409" t="s">
        <v>3706</v>
      </c>
      <c r="F81" s="409" t="s">
        <v>3707</v>
      </c>
      <c r="G81" s="409" t="s">
        <v>3708</v>
      </c>
      <c r="H81" s="465" t="e">
        <v>#N/A</v>
      </c>
      <c r="I81" s="465" t="e">
        <v>#N/A</v>
      </c>
      <c r="J81" s="465" t="e">
        <v>#N/A</v>
      </c>
      <c r="K81" s="465" t="e">
        <v>#N/A</v>
      </c>
      <c r="L81" s="464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horné/spodné vedenie 2,35m oliva</v>
      </c>
      <c r="C82" s="185">
        <f t="shared" si="3"/>
        <v>5.5428100000000002</v>
      </c>
      <c r="D82" s="409" t="s">
        <v>2931</v>
      </c>
      <c r="E82" s="409" t="s">
        <v>3709</v>
      </c>
      <c r="F82" s="409" t="s">
        <v>3710</v>
      </c>
      <c r="G82" s="409" t="s">
        <v>3711</v>
      </c>
      <c r="H82" s="465">
        <v>154.15831</v>
      </c>
      <c r="I82" s="465">
        <v>5.5428100000000002</v>
      </c>
      <c r="J82" s="465">
        <v>19.06033</v>
      </c>
      <c r="K82" s="465">
        <v>2209.1612300000002</v>
      </c>
      <c r="L82" s="464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spodné vedenie 1,5m oliva</v>
      </c>
      <c r="C83" s="185">
        <f t="shared" si="3"/>
        <v>6.2194000000000003</v>
      </c>
      <c r="D83" s="409" t="s">
        <v>3414</v>
      </c>
      <c r="E83" s="409" t="s">
        <v>3712</v>
      </c>
      <c r="F83" s="409" t="s">
        <v>3713</v>
      </c>
      <c r="G83" s="409" t="s">
        <v>3714</v>
      </c>
      <c r="H83" s="465">
        <v>171.10912999999999</v>
      </c>
      <c r="I83" s="465">
        <v>6.2194000000000003</v>
      </c>
      <c r="J83" s="465">
        <v>23.991430000000001</v>
      </c>
      <c r="K83" s="465">
        <v>2529.0029</v>
      </c>
      <c r="L83" s="464" t="s">
        <v>539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9" t="e">
        <v>#N/A</v>
      </c>
      <c r="E84" s="409" t="e">
        <v>#N/A</v>
      </c>
      <c r="F84" s="409" t="e">
        <v>#N/A</v>
      </c>
      <c r="G84" s="409" t="e">
        <v>#N/A</v>
      </c>
      <c r="H84" s="465" t="e">
        <v>#N/A</v>
      </c>
      <c r="I84" s="465" t="e">
        <v>#N/A</v>
      </c>
      <c r="J84" s="465" t="e">
        <v>#N/A</v>
      </c>
      <c r="K84" s="465" t="e">
        <v>#N/A</v>
      </c>
      <c r="L84" s="464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SMART SPODNÉ VEDENIE 2,35M STRIE</v>
      </c>
      <c r="C85" s="185">
        <f t="shared" si="3"/>
        <v>5.3606600000000002</v>
      </c>
      <c r="D85" s="409" t="s">
        <v>2734</v>
      </c>
      <c r="E85" s="409" t="s">
        <v>3715</v>
      </c>
      <c r="F85" s="409" t="s">
        <v>3716</v>
      </c>
      <c r="G85" s="409" t="s">
        <v>3717</v>
      </c>
      <c r="H85" s="465">
        <v>149.09209999999999</v>
      </c>
      <c r="I85" s="465">
        <v>5.3606600000000002</v>
      </c>
      <c r="J85" s="465">
        <v>19.6554</v>
      </c>
      <c r="K85" s="465">
        <v>2136.5599499999998</v>
      </c>
      <c r="L85" s="464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maska 1,7m strieborná</v>
      </c>
      <c r="C86" s="185">
        <f t="shared" si="3"/>
        <v>4.7100900000000001</v>
      </c>
      <c r="D86" s="409" t="s">
        <v>2893</v>
      </c>
      <c r="E86" s="409" t="s">
        <v>3718</v>
      </c>
      <c r="F86" s="409" t="s">
        <v>3719</v>
      </c>
      <c r="G86" s="409" t="s">
        <v>3720</v>
      </c>
      <c r="H86" s="465">
        <v>130.99838</v>
      </c>
      <c r="I86" s="465">
        <v>4.7100900000000001</v>
      </c>
      <c r="J86" s="465">
        <v>16.360800000000001</v>
      </c>
      <c r="K86" s="465">
        <v>1877.2685200000001</v>
      </c>
      <c r="L86" s="464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00905 uholník Mini 17x11mm 3m oliva</v>
      </c>
      <c r="C87" s="185">
        <f t="shared" si="3"/>
        <v>5.3866800000000001</v>
      </c>
      <c r="D87" s="409" t="s">
        <v>3721</v>
      </c>
      <c r="E87" s="409" t="s">
        <v>3722</v>
      </c>
      <c r="F87" s="409" t="s">
        <v>3723</v>
      </c>
      <c r="G87" s="409" t="s">
        <v>3724</v>
      </c>
      <c r="H87" s="465">
        <v>149.81584000000001</v>
      </c>
      <c r="I87" s="465">
        <v>5.3866800000000001</v>
      </c>
      <c r="J87" s="465">
        <v>18.523420000000002</v>
      </c>
      <c r="K87" s="465">
        <v>2146.9315799999999</v>
      </c>
      <c r="L87" s="464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uholník Mini 17x11mm 3m zlatá</v>
      </c>
      <c r="C88" s="185">
        <f t="shared" si="3"/>
        <v>5.3866800000000001</v>
      </c>
      <c r="D88" s="409" t="s">
        <v>3725</v>
      </c>
      <c r="E88" s="409" t="s">
        <v>3726</v>
      </c>
      <c r="F88" s="409" t="s">
        <v>3727</v>
      </c>
      <c r="G88" s="409" t="s">
        <v>3728</v>
      </c>
      <c r="H88" s="465">
        <v>149.81584000000001</v>
      </c>
      <c r="I88" s="465">
        <v>5.3866800000000001</v>
      </c>
      <c r="J88" s="465">
        <v>18.523420000000002</v>
      </c>
      <c r="K88" s="465">
        <v>2146.9315799999999</v>
      </c>
      <c r="L88" s="464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uholník K2 Decor 2,35m oliva</v>
      </c>
      <c r="C89" s="185">
        <f t="shared" si="3"/>
        <v>5.9591799999999999</v>
      </c>
      <c r="D89" s="409" t="s">
        <v>2697</v>
      </c>
      <c r="E89" s="409" t="s">
        <v>3729</v>
      </c>
      <c r="F89" s="409" t="s">
        <v>3730</v>
      </c>
      <c r="G89" s="409" t="s">
        <v>2697</v>
      </c>
      <c r="H89" s="465">
        <v>165.73829000000001</v>
      </c>
      <c r="I89" s="465">
        <v>5.9591799999999999</v>
      </c>
      <c r="J89" s="465">
        <v>20.492090000000001</v>
      </c>
      <c r="K89" s="465">
        <v>2375.10779</v>
      </c>
      <c r="L89" s="464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uholník K2 Decor 2,35m strieborná</v>
      </c>
      <c r="C90" s="185">
        <f t="shared" si="3"/>
        <v>4.7621399999999996</v>
      </c>
      <c r="D90" s="409" t="s">
        <v>2695</v>
      </c>
      <c r="E90" s="409" t="s">
        <v>3731</v>
      </c>
      <c r="F90" s="409" t="s">
        <v>3732</v>
      </c>
      <c r="G90" s="409" t="s">
        <v>2695</v>
      </c>
      <c r="H90" s="465">
        <v>132.44587000000001</v>
      </c>
      <c r="I90" s="465">
        <v>4.7621399999999996</v>
      </c>
      <c r="J90" s="465">
        <v>16.666799999999999</v>
      </c>
      <c r="K90" s="465">
        <v>1898.0117499999999</v>
      </c>
      <c r="L90" s="464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str">
        <f t="shared" si="2"/>
        <v>SEVROLL 02812 Maxim II maska 1,8m strieborná</v>
      </c>
      <c r="C91" s="185" t="e">
        <f t="shared" si="3"/>
        <v>#N/A</v>
      </c>
      <c r="D91" s="409" t="s">
        <v>2917</v>
      </c>
      <c r="E91" s="409" t="s">
        <v>3733</v>
      </c>
      <c r="F91" s="409" t="s">
        <v>3734</v>
      </c>
      <c r="G91" s="409" t="s">
        <v>3735</v>
      </c>
      <c r="H91" s="465" t="e">
        <v>#N/A</v>
      </c>
      <c r="I91" s="465" t="e">
        <v>#N/A</v>
      </c>
      <c r="J91" s="465" t="e">
        <v>#N/A</v>
      </c>
      <c r="K91" s="465" t="e">
        <v>#N/A</v>
      </c>
      <c r="L91" s="464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Micra hor/spod.vedenie 2,35m str.elo</v>
      </c>
      <c r="C92" s="185">
        <f t="shared" si="3"/>
        <v>4.6580500000000002</v>
      </c>
      <c r="D92" s="409" t="s">
        <v>2650</v>
      </c>
      <c r="E92" s="409" t="s">
        <v>3736</v>
      </c>
      <c r="F92" s="409" t="s">
        <v>1225</v>
      </c>
      <c r="G92" s="409" t="s">
        <v>3737</v>
      </c>
      <c r="H92" s="465">
        <v>129.55089000000001</v>
      </c>
      <c r="I92" s="465">
        <v>4.6580500000000002</v>
      </c>
      <c r="J92" s="465">
        <v>16.1568</v>
      </c>
      <c r="K92" s="465">
        <v>1856.52531</v>
      </c>
      <c r="L92" s="464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obojstranná lepiaca páska 50mm 10</v>
      </c>
      <c r="C93" s="185">
        <f t="shared" si="3"/>
        <v>4.9442899999999996</v>
      </c>
      <c r="D93" s="409" t="s">
        <v>2997</v>
      </c>
      <c r="E93" s="409" t="s">
        <v>3738</v>
      </c>
      <c r="F93" s="409" t="s">
        <v>1121</v>
      </c>
      <c r="G93" s="409" t="s">
        <v>3739</v>
      </c>
      <c r="H93" s="465">
        <v>145.92113000000001</v>
      </c>
      <c r="I93" s="465">
        <v>4.9442899999999996</v>
      </c>
      <c r="J93" s="465">
        <v>16.541799999999999</v>
      </c>
      <c r="K93" s="465">
        <v>2026.46074</v>
      </c>
      <c r="L93" s="464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maska 1,7m oliva</v>
      </c>
      <c r="C94" s="185">
        <f t="shared" si="3"/>
        <v>5.69895</v>
      </c>
      <c r="D94" s="409" t="s">
        <v>2897</v>
      </c>
      <c r="E94" s="409" t="s">
        <v>3740</v>
      </c>
      <c r="F94" s="409" t="s">
        <v>2897</v>
      </c>
      <c r="G94" s="409" t="s">
        <v>3741</v>
      </c>
      <c r="H94" s="465">
        <v>158.50081</v>
      </c>
      <c r="I94" s="465">
        <v>5.69895</v>
      </c>
      <c r="J94" s="465">
        <v>19.597249999999999</v>
      </c>
      <c r="K94" s="465">
        <v>2271.3912799999998</v>
      </c>
      <c r="L94" s="464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Simple spodné vedenie 1,5m strieborn</v>
      </c>
      <c r="C95" s="185">
        <f t="shared" si="3"/>
        <v>6.5023600000000004</v>
      </c>
      <c r="D95" s="409" t="s">
        <v>3087</v>
      </c>
      <c r="E95" s="409" t="s">
        <v>3742</v>
      </c>
      <c r="F95" s="409" t="s">
        <v>1047</v>
      </c>
      <c r="G95" s="409" t="s">
        <v>3743</v>
      </c>
      <c r="H95" s="465">
        <v>150.12</v>
      </c>
      <c r="I95" s="465">
        <v>6.5023600000000004</v>
      </c>
      <c r="J95" s="465">
        <v>21.998480000000001</v>
      </c>
      <c r="K95" s="465">
        <v>2500.9061700000002</v>
      </c>
      <c r="L95" s="464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profil "U" DTD 16mm 3m str</v>
      </c>
      <c r="C96" s="185">
        <f t="shared" si="3"/>
        <v>6.0372399999999997</v>
      </c>
      <c r="D96" s="409" t="s">
        <v>3147</v>
      </c>
      <c r="E96" s="409" t="s">
        <v>3744</v>
      </c>
      <c r="F96" s="409" t="s">
        <v>1108</v>
      </c>
      <c r="G96" s="409" t="s">
        <v>3745</v>
      </c>
      <c r="H96" s="465">
        <v>167.90952999999999</v>
      </c>
      <c r="I96" s="465">
        <v>6.0372399999999997</v>
      </c>
      <c r="J96" s="465">
        <v>20.7774</v>
      </c>
      <c r="K96" s="465">
        <v>2406.2226000000001</v>
      </c>
      <c r="L96" s="464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uholník Mini 17x11mm 3m biela mat</v>
      </c>
      <c r="C97" s="185">
        <f t="shared" si="3"/>
        <v>5.6208799999999997</v>
      </c>
      <c r="D97" s="409" t="s">
        <v>3746</v>
      </c>
      <c r="E97" s="409" t="s">
        <v>3747</v>
      </c>
      <c r="F97" s="409" t="s">
        <v>3748</v>
      </c>
      <c r="G97" s="409" t="s">
        <v>3749</v>
      </c>
      <c r="H97" s="465">
        <v>156.32956999999999</v>
      </c>
      <c r="I97" s="465">
        <v>5.6208799999999997</v>
      </c>
      <c r="J97" s="465">
        <v>21.583200000000001</v>
      </c>
      <c r="K97" s="465">
        <v>2240.27646</v>
      </c>
      <c r="L97" s="464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maska Elegant II 2,35 oliva tmavá kartáčovaná</v>
      </c>
      <c r="C98" s="185">
        <f t="shared" si="3"/>
        <v>6.4015599999999999</v>
      </c>
      <c r="D98" s="409" t="s">
        <v>3357</v>
      </c>
      <c r="E98" s="409" t="s">
        <v>3750</v>
      </c>
      <c r="F98" s="409" t="s">
        <v>3751</v>
      </c>
      <c r="G98" s="409" t="s">
        <v>3752</v>
      </c>
      <c r="H98" s="465">
        <v>178.04201</v>
      </c>
      <c r="I98" s="465">
        <v>6.4015599999999999</v>
      </c>
      <c r="J98" s="465">
        <v>22.013339999999999</v>
      </c>
      <c r="K98" s="465">
        <v>2551.4259499999998</v>
      </c>
      <c r="L98" s="464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spodný vozík WD 18C HI-TEC - 2ks</v>
      </c>
      <c r="C99" s="185">
        <f t="shared" si="3"/>
        <v>5.2305400000000004</v>
      </c>
      <c r="D99" s="409" t="s">
        <v>3155</v>
      </c>
      <c r="E99" s="409" t="s">
        <v>3753</v>
      </c>
      <c r="F99" s="409" t="s">
        <v>3754</v>
      </c>
      <c r="G99" s="409" t="s">
        <v>3755</v>
      </c>
      <c r="H99" s="465">
        <v>154.36919</v>
      </c>
      <c r="I99" s="465">
        <v>5.2305400000000004</v>
      </c>
      <c r="J99" s="465">
        <v>17.546399999999998</v>
      </c>
      <c r="K99" s="465">
        <v>2143.7821199999998</v>
      </c>
      <c r="L99" s="464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161 U PROFna DTD 18mm-3m, OLIVA</v>
      </c>
      <c r="C100" s="185">
        <f t="shared" si="3"/>
        <v>5.9591799999999999</v>
      </c>
      <c r="D100" s="409" t="s">
        <v>2688</v>
      </c>
      <c r="E100" s="409" t="s">
        <v>3756</v>
      </c>
      <c r="F100" s="409" t="s">
        <v>3757</v>
      </c>
      <c r="G100" s="409" t="s">
        <v>3758</v>
      </c>
      <c r="H100" s="465">
        <v>165.73829000000001</v>
      </c>
      <c r="I100" s="465">
        <v>5.9591799999999999</v>
      </c>
      <c r="J100" s="465">
        <v>20.492090000000001</v>
      </c>
      <c r="K100" s="465">
        <v>2375.10779</v>
      </c>
      <c r="L100" s="464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profil "U" pre lamino 18mm 3m zlatá</v>
      </c>
      <c r="C101" s="185">
        <f t="shared" si="3"/>
        <v>5.9591799999999999</v>
      </c>
      <c r="D101" s="409" t="s">
        <v>2689</v>
      </c>
      <c r="E101" s="409" t="s">
        <v>3759</v>
      </c>
      <c r="F101" s="409" t="s">
        <v>3760</v>
      </c>
      <c r="G101" s="409" t="s">
        <v>3761</v>
      </c>
      <c r="H101" s="465">
        <v>165.73829000000001</v>
      </c>
      <c r="I101" s="465">
        <v>5.9591799999999999</v>
      </c>
      <c r="J101" s="465">
        <v>20.492090000000001</v>
      </c>
      <c r="K101" s="465">
        <v>2375.10779</v>
      </c>
      <c r="L101" s="464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úchytová lišta 2,7m strieborná</v>
      </c>
      <c r="C102" s="185">
        <f t="shared" si="3"/>
        <v>6.7658800000000001</v>
      </c>
      <c r="D102" s="409" t="s">
        <v>2676</v>
      </c>
      <c r="E102" s="409" t="s">
        <v>3762</v>
      </c>
      <c r="F102" s="409" t="s">
        <v>3763</v>
      </c>
      <c r="G102" s="409" t="s">
        <v>3764</v>
      </c>
      <c r="H102" s="465">
        <v>188.17447000000001</v>
      </c>
      <c r="I102" s="465">
        <v>6.7658800000000001</v>
      </c>
      <c r="J102" s="465">
        <v>23.26613</v>
      </c>
      <c r="K102" s="465">
        <v>2696.62887</v>
      </c>
      <c r="L102" s="464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maska Elegant II 2,35m čierna  kartáčovaná</v>
      </c>
      <c r="C103" s="185">
        <f t="shared" si="3"/>
        <v>6.4015599999999999</v>
      </c>
      <c r="D103" s="409" t="s">
        <v>3358</v>
      </c>
      <c r="E103" s="409" t="s">
        <v>3765</v>
      </c>
      <c r="F103" s="409" t="s">
        <v>3766</v>
      </c>
      <c r="G103" s="409" t="s">
        <v>3767</v>
      </c>
      <c r="H103" s="465">
        <v>178.04201</v>
      </c>
      <c r="I103" s="465">
        <v>6.4015599999999999</v>
      </c>
      <c r="J103" s="465">
        <v>22.013339999999999</v>
      </c>
      <c r="K103" s="465">
        <v>2551.4259499999998</v>
      </c>
      <c r="L103" s="464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maska Elegant II 2,35m oliva kartáčovaná</v>
      </c>
      <c r="C104" s="185">
        <f t="shared" si="3"/>
        <v>6.4015599999999999</v>
      </c>
      <c r="D104" s="409" t="s">
        <v>3356</v>
      </c>
      <c r="E104" s="409" t="s">
        <v>3768</v>
      </c>
      <c r="F104" s="409" t="s">
        <v>3356</v>
      </c>
      <c r="G104" s="409" t="s">
        <v>3769</v>
      </c>
      <c r="H104" s="465">
        <v>178.04201</v>
      </c>
      <c r="I104" s="465">
        <v>6.4015599999999999</v>
      </c>
      <c r="J104" s="465">
        <v>22.013339999999999</v>
      </c>
      <c r="K104" s="465">
        <v>2551.4259499999998</v>
      </c>
      <c r="L104" s="464" t="s">
        <v>538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koncovka k lište Hide N strieborná</v>
      </c>
      <c r="C105" s="185">
        <f t="shared" si="3"/>
        <v>5.3866800000000001</v>
      </c>
      <c r="D105" s="409" t="s">
        <v>2989</v>
      </c>
      <c r="E105" s="409" t="s">
        <v>3770</v>
      </c>
      <c r="F105" s="409" t="s">
        <v>3771</v>
      </c>
      <c r="G105" s="409" t="s">
        <v>3772</v>
      </c>
      <c r="H105" s="465">
        <v>149.81584000000001</v>
      </c>
      <c r="I105" s="465">
        <v>5.3866800000000001</v>
      </c>
      <c r="J105" s="465">
        <v>18.523420000000002</v>
      </c>
      <c r="K105" s="465">
        <v>2146.9315799999999</v>
      </c>
      <c r="L105" s="464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horná vodiaca lišta Simple/Blue 1,5m( pre lamino 10mm)strieborná</v>
      </c>
      <c r="C106" s="185">
        <f t="shared" si="3"/>
        <v>6.0112199999999998</v>
      </c>
      <c r="D106" s="409" t="s">
        <v>3112</v>
      </c>
      <c r="E106" s="409" t="s">
        <v>3773</v>
      </c>
      <c r="F106" s="409" t="s">
        <v>3774</v>
      </c>
      <c r="G106" s="409" t="s">
        <v>3775</v>
      </c>
      <c r="H106" s="465">
        <v>165.38162</v>
      </c>
      <c r="I106" s="465">
        <v>6.0112199999999998</v>
      </c>
      <c r="J106" s="465">
        <v>22.79579</v>
      </c>
      <c r="K106" s="465">
        <v>2444.35</v>
      </c>
      <c r="L106" s="464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str">
        <f t="shared" si="2"/>
        <v>SEVROLL Simple spodné vedenie 1,5m oliva</v>
      </c>
      <c r="C107" s="185" t="e">
        <f t="shared" si="3"/>
        <v>#N/A</v>
      </c>
      <c r="D107" s="409" t="s">
        <v>3097</v>
      </c>
      <c r="E107" s="409" t="s">
        <v>3776</v>
      </c>
      <c r="F107" s="409" t="s">
        <v>3777</v>
      </c>
      <c r="G107" s="409" t="s">
        <v>3778</v>
      </c>
      <c r="H107" s="465" t="e">
        <v>#N/A</v>
      </c>
      <c r="I107" s="465" t="e">
        <v>#N/A</v>
      </c>
      <c r="J107" s="465" t="e">
        <v>#N/A</v>
      </c>
      <c r="K107" s="465" t="e">
        <v>#N/A</v>
      </c>
      <c r="L107" s="464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uholník 10x18mm 3m strieborná</v>
      </c>
      <c r="C108" s="185">
        <f t="shared" si="3"/>
        <v>5.69895</v>
      </c>
      <c r="D108" s="409" t="s">
        <v>3210</v>
      </c>
      <c r="E108" s="409" t="s">
        <v>3779</v>
      </c>
      <c r="F108" s="409" t="s">
        <v>3780</v>
      </c>
      <c r="G108" s="409" t="s">
        <v>3781</v>
      </c>
      <c r="H108" s="465">
        <v>158.50081</v>
      </c>
      <c r="I108" s="465">
        <v>5.69895</v>
      </c>
      <c r="J108" s="465">
        <v>21.012</v>
      </c>
      <c r="K108" s="465">
        <v>2271.3912799999998</v>
      </c>
      <c r="L108" s="464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spodné vedenie 2m strieborná</v>
      </c>
      <c r="C109" s="185">
        <f t="shared" si="3"/>
        <v>6.9480300000000002</v>
      </c>
      <c r="D109" s="409" t="s">
        <v>3383</v>
      </c>
      <c r="E109" s="409" t="s">
        <v>3782</v>
      </c>
      <c r="F109" s="409" t="s">
        <v>3783</v>
      </c>
      <c r="G109" s="409" t="s">
        <v>3784</v>
      </c>
      <c r="H109" s="465">
        <v>191.15539000000001</v>
      </c>
      <c r="I109" s="465">
        <v>6.9480300000000002</v>
      </c>
      <c r="J109" s="465">
        <v>28.207630000000002</v>
      </c>
      <c r="K109" s="465">
        <v>2825.28784</v>
      </c>
      <c r="L109" s="464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spodné vedenie 1,5m strieborná</v>
      </c>
      <c r="C110" s="185">
        <f t="shared" si="3"/>
        <v>6.0632700000000002</v>
      </c>
      <c r="D110" s="409" t="s">
        <v>3402</v>
      </c>
      <c r="E110" s="409" t="s">
        <v>3785</v>
      </c>
      <c r="F110" s="409" t="s">
        <v>3786</v>
      </c>
      <c r="G110" s="409" t="s">
        <v>3787</v>
      </c>
      <c r="H110" s="465">
        <v>166.81349</v>
      </c>
      <c r="I110" s="465">
        <v>6.0632700000000002</v>
      </c>
      <c r="J110" s="465">
        <v>25.674769999999999</v>
      </c>
      <c r="K110" s="465">
        <v>2465.51314</v>
      </c>
      <c r="L110" s="464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Focus 18mm úch.lišta 2,7m strieborná</v>
      </c>
      <c r="C111" s="185">
        <f t="shared" si="3"/>
        <v>6.7658800000000001</v>
      </c>
      <c r="D111" s="409" t="s">
        <v>2628</v>
      </c>
      <c r="E111" s="409" t="s">
        <v>3788</v>
      </c>
      <c r="F111" s="409" t="s">
        <v>1252</v>
      </c>
      <c r="G111" s="409" t="s">
        <v>3789</v>
      </c>
      <c r="H111" s="465">
        <v>188.17447000000001</v>
      </c>
      <c r="I111" s="465">
        <v>6.7658800000000001</v>
      </c>
      <c r="J111" s="465">
        <v>23.26613</v>
      </c>
      <c r="K111" s="465">
        <v>2696.62887</v>
      </c>
      <c r="L111" s="464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uholník K2 2,35m čierna kartáčovaná</v>
      </c>
      <c r="C112" s="185">
        <f t="shared" si="3"/>
        <v>6.7658800000000001</v>
      </c>
      <c r="D112" s="409" t="s">
        <v>3046</v>
      </c>
      <c r="E112" s="409" t="s">
        <v>3790</v>
      </c>
      <c r="F112" s="409" t="s">
        <v>3791</v>
      </c>
      <c r="G112" s="409" t="s">
        <v>3792</v>
      </c>
      <c r="H112" s="465">
        <v>188.17447000000001</v>
      </c>
      <c r="I112" s="465">
        <v>6.7658800000000001</v>
      </c>
      <c r="J112" s="465">
        <v>23.26613</v>
      </c>
      <c r="K112" s="465">
        <v>2696.62887</v>
      </c>
      <c r="L112" s="464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uholník K2 2,35m oliva tmavá kartáčovaná</v>
      </c>
      <c r="C113" s="185">
        <f t="shared" si="3"/>
        <v>6.7658800000000001</v>
      </c>
      <c r="D113" s="409" t="s">
        <v>3038</v>
      </c>
      <c r="E113" s="409" t="s">
        <v>3793</v>
      </c>
      <c r="F113" s="409" t="s">
        <v>3794</v>
      </c>
      <c r="G113" s="409" t="s">
        <v>3795</v>
      </c>
      <c r="H113" s="465">
        <v>188.17447000000001</v>
      </c>
      <c r="I113" s="465">
        <v>6.7658800000000001</v>
      </c>
      <c r="J113" s="465">
        <v>23.26613</v>
      </c>
      <c r="K113" s="465">
        <v>2696.62887</v>
      </c>
      <c r="L113" s="464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profil "U" pre lamino 18mm 3m biela lesk</v>
      </c>
      <c r="C114" s="185">
        <f t="shared" si="3"/>
        <v>6.1933800000000003</v>
      </c>
      <c r="D114" s="409" t="s">
        <v>3438</v>
      </c>
      <c r="E114" s="409" t="s">
        <v>3796</v>
      </c>
      <c r="F114" s="409" t="s">
        <v>3797</v>
      </c>
      <c r="G114" s="409" t="s">
        <v>3798</v>
      </c>
      <c r="H114" s="465">
        <v>172.25201999999999</v>
      </c>
      <c r="I114" s="465">
        <v>6.1933800000000003</v>
      </c>
      <c r="J114" s="465">
        <v>27.009599999999999</v>
      </c>
      <c r="K114" s="465">
        <v>2468.4526700000001</v>
      </c>
      <c r="L114" s="464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Beta 16 úchytová lišta 2,70m striebo</v>
      </c>
      <c r="C115" s="185">
        <f t="shared" si="3"/>
        <v>7.8588300000000002</v>
      </c>
      <c r="D115" s="409" t="s">
        <v>3148</v>
      </c>
      <c r="E115" s="409" t="s">
        <v>3799</v>
      </c>
      <c r="F115" s="409" t="s">
        <v>1189</v>
      </c>
      <c r="G115" s="409" t="s">
        <v>3800</v>
      </c>
      <c r="H115" s="465">
        <v>218.57187999999999</v>
      </c>
      <c r="I115" s="465">
        <v>7.8588300000000002</v>
      </c>
      <c r="J115" s="465">
        <v>29.4984</v>
      </c>
      <c r="K115" s="465">
        <v>3132.2380699999999</v>
      </c>
      <c r="L115" s="464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Focus II 16mm úch.lišta 2,7m strieborná</v>
      </c>
      <c r="C116" s="185">
        <f t="shared" si="3"/>
        <v>8.3012099999999993</v>
      </c>
      <c r="D116" s="409" t="s">
        <v>3183</v>
      </c>
      <c r="E116" s="409" t="s">
        <v>3801</v>
      </c>
      <c r="F116" s="409" t="s">
        <v>1059</v>
      </c>
      <c r="G116" s="409" t="s">
        <v>3802</v>
      </c>
      <c r="H116" s="465">
        <v>230.87560999999999</v>
      </c>
      <c r="I116" s="465">
        <v>8.3012099999999993</v>
      </c>
      <c r="J116" s="465">
        <v>28.545750000000002</v>
      </c>
      <c r="K116" s="465">
        <v>3308.5562300000001</v>
      </c>
      <c r="L116" s="464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maska Elegant II 3m biela lesk</v>
      </c>
      <c r="C117" s="185">
        <f t="shared" si="3"/>
        <v>5.8863200000000004</v>
      </c>
      <c r="D117" s="409" t="s">
        <v>3364</v>
      </c>
      <c r="E117" s="409" t="s">
        <v>3803</v>
      </c>
      <c r="F117" s="409" t="s">
        <v>3804</v>
      </c>
      <c r="G117" s="409" t="s">
        <v>3805</v>
      </c>
      <c r="H117" s="465">
        <v>163.56704999999999</v>
      </c>
      <c r="I117" s="465">
        <v>5.8863200000000004</v>
      </c>
      <c r="J117" s="465">
        <v>21.542400000000001</v>
      </c>
      <c r="K117" s="465">
        <v>2343.9929499999998</v>
      </c>
      <c r="L117" s="464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spodné vedenie 1,5m oliva</v>
      </c>
      <c r="C118" s="185">
        <f t="shared" si="3"/>
        <v>7.5725800000000003</v>
      </c>
      <c r="D118" s="409" t="s">
        <v>3404</v>
      </c>
      <c r="E118" s="409" t="s">
        <v>3806</v>
      </c>
      <c r="F118" s="409" t="s">
        <v>3807</v>
      </c>
      <c r="G118" s="409" t="s">
        <v>3808</v>
      </c>
      <c r="H118" s="465">
        <v>208.33788000000001</v>
      </c>
      <c r="I118" s="465">
        <v>7.5725800000000003</v>
      </c>
      <c r="J118" s="465">
        <v>28.695329999999998</v>
      </c>
      <c r="K118" s="465">
        <v>3079.2461400000002</v>
      </c>
      <c r="L118" s="464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uholník K2 Decor 2,35m oliva kartáč.</v>
      </c>
      <c r="C119" s="185">
        <f t="shared" si="3"/>
        <v>6.7658800000000001</v>
      </c>
      <c r="D119" s="409" t="s">
        <v>2938</v>
      </c>
      <c r="E119" s="409" t="s">
        <v>3809</v>
      </c>
      <c r="F119" s="409" t="s">
        <v>1196</v>
      </c>
      <c r="G119" s="409" t="s">
        <v>3810</v>
      </c>
      <c r="H119" s="465">
        <v>188.17447000000001</v>
      </c>
      <c r="I119" s="465">
        <v>6.7658800000000001</v>
      </c>
      <c r="J119" s="465">
        <v>23.26613</v>
      </c>
      <c r="K119" s="465">
        <v>2696.62887</v>
      </c>
      <c r="L119" s="464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spojovacia lišta T04 3m strieborná</v>
      </c>
      <c r="C120" s="185">
        <f t="shared" si="3"/>
        <v>7.1822400000000002</v>
      </c>
      <c r="D120" s="409" t="s">
        <v>2835</v>
      </c>
      <c r="E120" s="409" t="s">
        <v>3811</v>
      </c>
      <c r="F120" s="409" t="s">
        <v>3812</v>
      </c>
      <c r="G120" s="409" t="s">
        <v>3813</v>
      </c>
      <c r="H120" s="465">
        <v>199.75444999999999</v>
      </c>
      <c r="I120" s="465">
        <v>7.1822400000000002</v>
      </c>
      <c r="J120" s="465">
        <v>24.697890000000001</v>
      </c>
      <c r="K120" s="465">
        <v>2862.5754299999999</v>
      </c>
      <c r="L120" s="464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spodné vedenie 2m oliva</v>
      </c>
      <c r="C121" s="185">
        <f t="shared" si="3"/>
        <v>8.1710999999999991</v>
      </c>
      <c r="D121" s="409" t="s">
        <v>3415</v>
      </c>
      <c r="E121" s="409" t="s">
        <v>3814</v>
      </c>
      <c r="F121" s="409" t="s">
        <v>3815</v>
      </c>
      <c r="G121" s="409" t="s">
        <v>3816</v>
      </c>
      <c r="H121" s="465">
        <v>224.80444</v>
      </c>
      <c r="I121" s="465">
        <v>8.1710999999999991</v>
      </c>
      <c r="J121" s="465">
        <v>31.33832</v>
      </c>
      <c r="K121" s="465">
        <v>3322.6228500000002</v>
      </c>
      <c r="L121" s="464" t="s">
        <v>539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 úchytová lišta 2,70m strieborná</v>
      </c>
      <c r="C122" s="185">
        <f t="shared" si="3"/>
        <v>7.6506400000000001</v>
      </c>
      <c r="D122" s="409" t="s">
        <v>3003</v>
      </c>
      <c r="E122" s="409" t="s">
        <v>3817</v>
      </c>
      <c r="F122" s="409" t="s">
        <v>3818</v>
      </c>
      <c r="G122" s="409" t="s">
        <v>3819</v>
      </c>
      <c r="H122" s="465">
        <v>212.78190000000001</v>
      </c>
      <c r="I122" s="465">
        <v>7.6506400000000001</v>
      </c>
      <c r="J122" s="465">
        <v>29.4984</v>
      </c>
      <c r="K122" s="465">
        <v>3049.2647999999999</v>
      </c>
      <c r="L122" s="464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uholník K2 Decor 3m oliva</v>
      </c>
      <c r="C123" s="185">
        <f t="shared" si="3"/>
        <v>7.5725800000000003</v>
      </c>
      <c r="D123" s="409" t="s">
        <v>2699</v>
      </c>
      <c r="E123" s="409" t="s">
        <v>3820</v>
      </c>
      <c r="F123" s="409" t="s">
        <v>3821</v>
      </c>
      <c r="G123" s="409" t="s">
        <v>2699</v>
      </c>
      <c r="H123" s="465">
        <v>210.61066</v>
      </c>
      <c r="I123" s="465">
        <v>7.5725800000000003</v>
      </c>
      <c r="J123" s="465">
        <v>26.04017</v>
      </c>
      <c r="K123" s="465">
        <v>3018.1499800000001</v>
      </c>
      <c r="L123" s="464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uholník K2 Decor 3m strieborná</v>
      </c>
      <c r="C124" s="185">
        <f t="shared" si="3"/>
        <v>6.0892900000000001</v>
      </c>
      <c r="D124" s="409" t="s">
        <v>2698</v>
      </c>
      <c r="E124" s="409" t="s">
        <v>3822</v>
      </c>
      <c r="F124" s="409" t="s">
        <v>3823</v>
      </c>
      <c r="G124" s="409" t="s">
        <v>2698</v>
      </c>
      <c r="H124" s="465">
        <v>169.35702000000001</v>
      </c>
      <c r="I124" s="465">
        <v>6.0892900000000001</v>
      </c>
      <c r="J124" s="465">
        <v>21.266999999999999</v>
      </c>
      <c r="K124" s="465">
        <v>2426.9658300000001</v>
      </c>
      <c r="L124" s="464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úchytová lišta 2,7m strieborná</v>
      </c>
      <c r="C125" s="185">
        <f t="shared" si="3"/>
        <v>8.3012099999999993</v>
      </c>
      <c r="D125" s="409" t="s">
        <v>3184</v>
      </c>
      <c r="E125" s="409" t="s">
        <v>3824</v>
      </c>
      <c r="F125" s="409" t="s">
        <v>3825</v>
      </c>
      <c r="G125" s="409" t="s">
        <v>3826</v>
      </c>
      <c r="H125" s="465">
        <v>230.87560999999999</v>
      </c>
      <c r="I125" s="465">
        <v>8.3012099999999993</v>
      </c>
      <c r="J125" s="465">
        <v>28.545750000000002</v>
      </c>
      <c r="K125" s="465">
        <v>3308.5562300000001</v>
      </c>
      <c r="L125" s="464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Micra horné/spod.vedenie 3m str.elox</v>
      </c>
      <c r="C126" s="185">
        <f t="shared" si="3"/>
        <v>5.9331500000000004</v>
      </c>
      <c r="D126" s="409" t="s">
        <v>2651</v>
      </c>
      <c r="E126" s="409" t="s">
        <v>3827</v>
      </c>
      <c r="F126" s="409" t="s">
        <v>1224</v>
      </c>
      <c r="G126" s="409" t="s">
        <v>3828</v>
      </c>
      <c r="H126" s="465">
        <v>165.01455000000001</v>
      </c>
      <c r="I126" s="465">
        <v>5.9331500000000004</v>
      </c>
      <c r="J126" s="465">
        <v>20.6448</v>
      </c>
      <c r="K126" s="465">
        <v>2364.7361799999999</v>
      </c>
      <c r="L126" s="464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str">
        <f t="shared" si="2"/>
        <v>SEVROLL 00024 profil "U" Decor pre lamino 16mm 3m strieborný</v>
      </c>
      <c r="C127" s="185" t="e">
        <f t="shared" si="3"/>
        <v>#N/A</v>
      </c>
      <c r="D127" s="409" t="s">
        <v>2687</v>
      </c>
      <c r="E127" s="409" t="s">
        <v>3829</v>
      </c>
      <c r="F127" s="409" t="s">
        <v>3830</v>
      </c>
      <c r="G127" s="409" t="s">
        <v>3831</v>
      </c>
      <c r="H127" s="465" t="e">
        <v>#N/A</v>
      </c>
      <c r="I127" s="465" t="e">
        <v>#N/A</v>
      </c>
      <c r="J127" s="465" t="e">
        <v>#N/A</v>
      </c>
      <c r="K127" s="465" t="e">
        <v>#N/A</v>
      </c>
      <c r="L127" s="464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okrasná lišta S20 3m strieborná</v>
      </c>
      <c r="C128" s="185">
        <f t="shared" si="3"/>
        <v>6.2194000000000003</v>
      </c>
      <c r="D128" s="409" t="s">
        <v>2839</v>
      </c>
      <c r="E128" s="409" t="s">
        <v>3832</v>
      </c>
      <c r="F128" s="409" t="s">
        <v>1217</v>
      </c>
      <c r="G128" s="409" t="s">
        <v>3833</v>
      </c>
      <c r="H128" s="465">
        <v>172.97577000000001</v>
      </c>
      <c r="I128" s="465">
        <v>6.2194000000000003</v>
      </c>
      <c r="J128" s="465">
        <v>21.725999999999999</v>
      </c>
      <c r="K128" s="465">
        <v>2478.8242700000001</v>
      </c>
      <c r="L128" s="464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Hide N spodné vedenie 1,7m strieborná</v>
      </c>
      <c r="C129" s="185">
        <f t="shared" si="3"/>
        <v>7.2082600000000001</v>
      </c>
      <c r="D129" s="409" t="s">
        <v>3190</v>
      </c>
      <c r="E129" s="409" t="s">
        <v>3834</v>
      </c>
      <c r="F129" s="409" t="s">
        <v>3835</v>
      </c>
      <c r="G129" s="409" t="s">
        <v>3836</v>
      </c>
      <c r="H129" s="465">
        <v>191.10332</v>
      </c>
      <c r="I129" s="465">
        <v>7.2082600000000001</v>
      </c>
      <c r="J129" s="465">
        <v>24.60145</v>
      </c>
      <c r="K129" s="465">
        <v>2791.5274800000002</v>
      </c>
      <c r="L129" s="464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spodné vedenie 2,35m strieborná</v>
      </c>
      <c r="C130" s="185">
        <f t="shared" si="3"/>
        <v>6.8439399999999999</v>
      </c>
      <c r="D130" s="409" t="s">
        <v>3313</v>
      </c>
      <c r="E130" s="409" t="s">
        <v>3837</v>
      </c>
      <c r="F130" s="409" t="s">
        <v>3838</v>
      </c>
      <c r="G130" s="409" t="s">
        <v>3839</v>
      </c>
      <c r="H130" s="465">
        <v>181.44465</v>
      </c>
      <c r="I130" s="465">
        <v>6.8439399999999999</v>
      </c>
      <c r="J130" s="465">
        <v>23.349630000000001</v>
      </c>
      <c r="K130" s="465">
        <v>2650.43923</v>
      </c>
      <c r="L130" s="464" t="s">
        <v>539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úchytová lišta 2,7m oliva</v>
      </c>
      <c r="C131" s="185">
        <f t="shared" si="3"/>
        <v>8.4573499999999999</v>
      </c>
      <c r="D131" s="409" t="s">
        <v>2675</v>
      </c>
      <c r="E131" s="409" t="s">
        <v>3840</v>
      </c>
      <c r="F131" s="409" t="s">
        <v>2675</v>
      </c>
      <c r="G131" s="409" t="s">
        <v>3841</v>
      </c>
      <c r="H131" s="465">
        <v>235.21811</v>
      </c>
      <c r="I131" s="465">
        <v>8.4573499999999999</v>
      </c>
      <c r="J131" s="465">
        <v>29.08267</v>
      </c>
      <c r="K131" s="465">
        <v>3370.7863000000002</v>
      </c>
      <c r="L131" s="464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Doubler II maska 2,35m stieborná</v>
      </c>
      <c r="C132" s="185">
        <f t="shared" ref="C132:C195" si="5">IF($A$2=1,H132,IF($A$2=2,I132,IF($A$2=3,J132,IF($A$2=4,K132,IF($A$2&gt;4,O132,"zadat jazyk")))))</f>
        <v>6.4796300000000002</v>
      </c>
      <c r="D132" s="409" t="s">
        <v>2894</v>
      </c>
      <c r="E132" s="409" t="s">
        <v>3842</v>
      </c>
      <c r="F132" s="409" t="s">
        <v>1257</v>
      </c>
      <c r="G132" s="409" t="s">
        <v>3843</v>
      </c>
      <c r="H132" s="465">
        <v>180.21324999999999</v>
      </c>
      <c r="I132" s="465">
        <v>6.4796300000000002</v>
      </c>
      <c r="J132" s="465">
        <v>22.593</v>
      </c>
      <c r="K132" s="465">
        <v>2582.5407799999998</v>
      </c>
      <c r="L132" s="464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 00036L profil "U" Decor 18mm 3m strieborná</v>
      </c>
      <c r="C133" s="185">
        <f t="shared" si="5"/>
        <v>7.1301899999999998</v>
      </c>
      <c r="D133" s="409" t="s">
        <v>2705</v>
      </c>
      <c r="E133" s="409" t="s">
        <v>3844</v>
      </c>
      <c r="F133" s="409" t="s">
        <v>3845</v>
      </c>
      <c r="G133" s="409" t="s">
        <v>2705</v>
      </c>
      <c r="H133" s="465">
        <v>198.30694</v>
      </c>
      <c r="I133" s="465">
        <v>7.1301899999999998</v>
      </c>
      <c r="J133" s="465">
        <v>24.518930000000001</v>
      </c>
      <c r="K133" s="465">
        <v>2841.8317999999999</v>
      </c>
      <c r="L133" s="464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spodný vozík WD 10C HI-TEC - 2ks</v>
      </c>
      <c r="C134" s="185">
        <f t="shared" si="5"/>
        <v>6.6617899999999999</v>
      </c>
      <c r="D134" s="409" t="s">
        <v>3156</v>
      </c>
      <c r="E134" s="409" t="s">
        <v>3846</v>
      </c>
      <c r="F134" s="409" t="s">
        <v>3847</v>
      </c>
      <c r="G134" s="409" t="s">
        <v>3848</v>
      </c>
      <c r="H134" s="465">
        <v>196.60954000000001</v>
      </c>
      <c r="I134" s="465">
        <v>6.6617899999999999</v>
      </c>
      <c r="J134" s="465">
        <v>26.3874</v>
      </c>
      <c r="K134" s="465">
        <v>2730.3893800000001</v>
      </c>
      <c r="L134" s="464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horné/spodné vedenie 1,8m oliva</v>
      </c>
      <c r="C135" s="185">
        <f t="shared" si="5"/>
        <v>8.7592099999999995</v>
      </c>
      <c r="D135" s="409" t="s">
        <v>2881</v>
      </c>
      <c r="E135" s="409" t="s">
        <v>3849</v>
      </c>
      <c r="F135" s="409" t="s">
        <v>3850</v>
      </c>
      <c r="G135" s="409" t="s">
        <v>3851</v>
      </c>
      <c r="H135" s="465">
        <v>243.90307999999999</v>
      </c>
      <c r="I135" s="465">
        <v>8.7592099999999995</v>
      </c>
      <c r="J135" s="465">
        <v>32.609400000000001</v>
      </c>
      <c r="K135" s="465">
        <v>3495.24602</v>
      </c>
      <c r="L135" s="464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horné/spodné vedenie 1,8m strieborná</v>
      </c>
      <c r="C136" s="185">
        <f t="shared" si="5"/>
        <v>7.93689</v>
      </c>
      <c r="D136" s="409" t="s">
        <v>2724</v>
      </c>
      <c r="E136" s="409" t="s">
        <v>3852</v>
      </c>
      <c r="F136" s="409" t="s">
        <v>3853</v>
      </c>
      <c r="G136" s="409" t="s">
        <v>3854</v>
      </c>
      <c r="H136" s="465">
        <v>220.74315000000001</v>
      </c>
      <c r="I136" s="465">
        <v>7.93689</v>
      </c>
      <c r="J136" s="465">
        <v>29.631</v>
      </c>
      <c r="K136" s="465">
        <v>3163.3533000000002</v>
      </c>
      <c r="L136" s="464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Simple spodné vedenie 2m strieborná</v>
      </c>
      <c r="C137" s="185">
        <f t="shared" si="5"/>
        <v>7.6766699999999997</v>
      </c>
      <c r="D137" s="409" t="s">
        <v>3088</v>
      </c>
      <c r="E137" s="409" t="s">
        <v>3855</v>
      </c>
      <c r="F137" s="409" t="s">
        <v>3856</v>
      </c>
      <c r="G137" s="409" t="s">
        <v>3857</v>
      </c>
      <c r="H137" s="465">
        <v>211.20165</v>
      </c>
      <c r="I137" s="465">
        <v>7.6766699999999997</v>
      </c>
      <c r="J137" s="465">
        <v>27.562619999999999</v>
      </c>
      <c r="K137" s="465">
        <v>3121.5727900000002</v>
      </c>
      <c r="L137" s="464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horný vozík 18mm - 2ks</v>
      </c>
      <c r="C138" s="185">
        <f t="shared" si="5"/>
        <v>7.2082600000000001</v>
      </c>
      <c r="D138" s="409" t="s">
        <v>2787</v>
      </c>
      <c r="E138" s="409" t="s">
        <v>3858</v>
      </c>
      <c r="F138" s="409" t="s">
        <v>3859</v>
      </c>
      <c r="G138" s="409" t="s">
        <v>3860</v>
      </c>
      <c r="H138" s="465">
        <v>212.73766000000001</v>
      </c>
      <c r="I138" s="465">
        <v>7.2082600000000001</v>
      </c>
      <c r="J138" s="465">
        <v>25.245000000000001</v>
      </c>
      <c r="K138" s="465">
        <v>2954.3665799999999</v>
      </c>
      <c r="L138" s="464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maska 2,35m oliva</v>
      </c>
      <c r="C139" s="185">
        <f t="shared" si="5"/>
        <v>7.8848500000000001</v>
      </c>
      <c r="D139" s="409" t="s">
        <v>2898</v>
      </c>
      <c r="E139" s="409" t="s">
        <v>3861</v>
      </c>
      <c r="F139" s="409" t="s">
        <v>2898</v>
      </c>
      <c r="G139" s="409" t="s">
        <v>3862</v>
      </c>
      <c r="H139" s="465">
        <v>219.29562999999999</v>
      </c>
      <c r="I139" s="465">
        <v>7.8848500000000001</v>
      </c>
      <c r="J139" s="465">
        <v>27.113990000000001</v>
      </c>
      <c r="K139" s="465">
        <v>3142.60968</v>
      </c>
      <c r="L139" s="464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horný vozík 10mm L+P</v>
      </c>
      <c r="C140" s="185">
        <f t="shared" si="5"/>
        <v>6.9220100000000002</v>
      </c>
      <c r="D140" s="409" t="s">
        <v>2761</v>
      </c>
      <c r="E140" s="409" t="s">
        <v>3863</v>
      </c>
      <c r="F140" s="409" t="s">
        <v>3864</v>
      </c>
      <c r="G140" s="409" t="s">
        <v>3865</v>
      </c>
      <c r="H140" s="465">
        <v>204.28959</v>
      </c>
      <c r="I140" s="465">
        <v>6.9220100000000002</v>
      </c>
      <c r="J140" s="465">
        <v>25.245000000000001</v>
      </c>
      <c r="K140" s="465">
        <v>2837.0452300000002</v>
      </c>
      <c r="L140" s="464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- horná vodiaca lišta 1,7m zlatá</v>
      </c>
      <c r="C141" s="185">
        <f t="shared" si="5"/>
        <v>9.6283600000000007</v>
      </c>
      <c r="D141" s="409" t="s">
        <v>2677</v>
      </c>
      <c r="E141" s="409" t="s">
        <v>3866</v>
      </c>
      <c r="F141" s="409" t="s">
        <v>3867</v>
      </c>
      <c r="G141" s="409" t="s">
        <v>3868</v>
      </c>
      <c r="H141" s="465">
        <v>267.78674999999998</v>
      </c>
      <c r="I141" s="465">
        <v>9.6283600000000007</v>
      </c>
      <c r="J141" s="465">
        <v>50.755200000000002</v>
      </c>
      <c r="K141" s="465">
        <v>3837.5103100000001</v>
      </c>
      <c r="L141" s="464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spodné vedenie 2,5m strieborná</v>
      </c>
      <c r="C142" s="185">
        <f t="shared" si="5"/>
        <v>8.5614399999999993</v>
      </c>
      <c r="D142" s="409" t="s">
        <v>3416</v>
      </c>
      <c r="E142" s="409" t="s">
        <v>3869</v>
      </c>
      <c r="F142" s="409" t="s">
        <v>3870</v>
      </c>
      <c r="G142" s="409" t="s">
        <v>3871</v>
      </c>
      <c r="H142" s="465">
        <v>235.54352</v>
      </c>
      <c r="I142" s="465">
        <v>8.5614399999999993</v>
      </c>
      <c r="J142" s="465">
        <v>34.783639999999998</v>
      </c>
      <c r="K142" s="465">
        <v>3481.3470900000002</v>
      </c>
      <c r="L142" s="464" t="s">
        <v>539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str">
        <f t="shared" si="4"/>
        <v>SEVROLL 01881 Maxim spojovacia lišta H18 1,8m strieborná</v>
      </c>
      <c r="C143" s="185" t="e">
        <f t="shared" si="5"/>
        <v>#N/A</v>
      </c>
      <c r="D143" s="409" t="s">
        <v>2808</v>
      </c>
      <c r="E143" s="409" t="s">
        <v>3872</v>
      </c>
      <c r="F143" s="409" t="s">
        <v>3873</v>
      </c>
      <c r="G143" s="409" t="s">
        <v>3874</v>
      </c>
      <c r="H143" s="465" t="e">
        <v>#N/A</v>
      </c>
      <c r="I143" s="465" t="e">
        <v>#N/A</v>
      </c>
      <c r="J143" s="465" t="e">
        <v>#N/A</v>
      </c>
      <c r="K143" s="465" t="e">
        <v>#N/A</v>
      </c>
      <c r="L143" s="464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okrasná lišta S20 3m oliva</v>
      </c>
      <c r="C144" s="185">
        <f t="shared" si="5"/>
        <v>7.6246200000000002</v>
      </c>
      <c r="D144" s="409" t="s">
        <v>2851</v>
      </c>
      <c r="E144" s="409" t="s">
        <v>3875</v>
      </c>
      <c r="F144" s="409" t="s">
        <v>1218</v>
      </c>
      <c r="G144" s="409" t="s">
        <v>3876</v>
      </c>
      <c r="H144" s="465">
        <v>212.05815000000001</v>
      </c>
      <c r="I144" s="465">
        <v>7.6246200000000002</v>
      </c>
      <c r="J144" s="465">
        <v>26.219149999999999</v>
      </c>
      <c r="K144" s="465">
        <v>3038.8931899999998</v>
      </c>
      <c r="L144" s="464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 "U" pre lamino 16mm 3m oliva</v>
      </c>
      <c r="C145" s="185">
        <f t="shared" si="5"/>
        <v>7.5465499999999999</v>
      </c>
      <c r="D145" s="409" t="s">
        <v>2748</v>
      </c>
      <c r="E145" s="409" t="s">
        <v>3877</v>
      </c>
      <c r="F145" s="409" t="s">
        <v>3878</v>
      </c>
      <c r="G145" s="409" t="s">
        <v>3879</v>
      </c>
      <c r="H145" s="465">
        <v>209.88691</v>
      </c>
      <c r="I145" s="465">
        <v>7.5465499999999999</v>
      </c>
      <c r="J145" s="465">
        <v>25.950690000000002</v>
      </c>
      <c r="K145" s="465">
        <v>3007.77835</v>
      </c>
      <c r="L145" s="464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maska Elegant II 3m čierna  kartáčovaná</v>
      </c>
      <c r="C146" s="185">
        <f t="shared" si="5"/>
        <v>8.1710999999999991</v>
      </c>
      <c r="D146" s="409" t="s">
        <v>3363</v>
      </c>
      <c r="E146" s="409" t="s">
        <v>3880</v>
      </c>
      <c r="F146" s="409" t="s">
        <v>3881</v>
      </c>
      <c r="G146" s="409" t="s">
        <v>3882</v>
      </c>
      <c r="H146" s="465">
        <v>227.25684999999999</v>
      </c>
      <c r="I146" s="465">
        <v>8.1710999999999991</v>
      </c>
      <c r="J146" s="465">
        <v>28.098320000000001</v>
      </c>
      <c r="K146" s="465">
        <v>3256.6977900000002</v>
      </c>
      <c r="L146" s="464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maska Elegant II 3m oliva kartáčovaná</v>
      </c>
      <c r="C147" s="185">
        <f t="shared" si="5"/>
        <v>8.1710999999999991</v>
      </c>
      <c r="D147" s="409" t="s">
        <v>3361</v>
      </c>
      <c r="E147" s="409" t="s">
        <v>3883</v>
      </c>
      <c r="F147" s="409" t="s">
        <v>3361</v>
      </c>
      <c r="G147" s="409" t="s">
        <v>3884</v>
      </c>
      <c r="H147" s="465">
        <v>227.25684999999999</v>
      </c>
      <c r="I147" s="465">
        <v>8.1710999999999991</v>
      </c>
      <c r="J147" s="465">
        <v>28.098320000000001</v>
      </c>
      <c r="K147" s="465">
        <v>3256.6977900000002</v>
      </c>
      <c r="L147" s="464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maska Elegant II 3m oliva tmavá kartáčovaná</v>
      </c>
      <c r="C148" s="185">
        <f t="shared" si="5"/>
        <v>8.1710999999999991</v>
      </c>
      <c r="D148" s="409" t="s">
        <v>3362</v>
      </c>
      <c r="E148" s="409" t="s">
        <v>3885</v>
      </c>
      <c r="F148" s="409" t="s">
        <v>3362</v>
      </c>
      <c r="G148" s="409" t="s">
        <v>3886</v>
      </c>
      <c r="H148" s="465">
        <v>227.25684999999999</v>
      </c>
      <c r="I148" s="465">
        <v>8.1710999999999991</v>
      </c>
      <c r="J148" s="465">
        <v>28.098320000000001</v>
      </c>
      <c r="K148" s="465">
        <v>3256.6977900000002</v>
      </c>
      <c r="L148" s="464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Beta 18 úchytová lišta 2,70m oliva</v>
      </c>
      <c r="C149" s="185">
        <f t="shared" si="5"/>
        <v>9.5763200000000008</v>
      </c>
      <c r="D149" s="409" t="s">
        <v>3004</v>
      </c>
      <c r="E149" s="409" t="s">
        <v>3887</v>
      </c>
      <c r="F149" s="409" t="s">
        <v>1188</v>
      </c>
      <c r="G149" s="409" t="s">
        <v>3888</v>
      </c>
      <c r="H149" s="465">
        <v>266.33926000000002</v>
      </c>
      <c r="I149" s="465">
        <v>9.5763200000000008</v>
      </c>
      <c r="J149" s="465">
        <v>32.986800000000002</v>
      </c>
      <c r="K149" s="465">
        <v>3816.7671</v>
      </c>
      <c r="L149" s="464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str">
        <f t="shared" si="4"/>
        <v>SEVROLL 02813 Maxim II maska 2,5m strieborná</v>
      </c>
      <c r="C150" s="185" t="e">
        <f t="shared" si="5"/>
        <v>#N/A</v>
      </c>
      <c r="D150" s="409" t="s">
        <v>2918</v>
      </c>
      <c r="E150" s="409" t="s">
        <v>3889</v>
      </c>
      <c r="F150" s="409" t="s">
        <v>3890</v>
      </c>
      <c r="G150" s="409" t="s">
        <v>3891</v>
      </c>
      <c r="H150" s="465" t="e">
        <v>#N/A</v>
      </c>
      <c r="I150" s="465" t="e">
        <v>#N/A</v>
      </c>
      <c r="J150" s="465" t="e">
        <v>#N/A</v>
      </c>
      <c r="K150" s="465" t="e">
        <v>#N/A</v>
      </c>
      <c r="L150" s="464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krycí profil Galaxy 1,5 m</v>
      </c>
      <c r="C151" s="185">
        <f t="shared" si="5"/>
        <v>0</v>
      </c>
      <c r="D151" s="409" t="s">
        <v>3315</v>
      </c>
      <c r="E151" s="409" t="s">
        <v>3892</v>
      </c>
      <c r="F151" s="409" t="s">
        <v>3893</v>
      </c>
      <c r="G151" s="409" t="s">
        <v>3894</v>
      </c>
      <c r="H151" s="465">
        <v>0</v>
      </c>
      <c r="I151" s="465">
        <v>0</v>
      </c>
      <c r="J151" s="465">
        <v>0</v>
      </c>
      <c r="K151" s="465">
        <v>0</v>
      </c>
      <c r="L151" s="464" t="s">
        <v>540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 "U" Decor 18mm 3m oliva</v>
      </c>
      <c r="C152" s="185">
        <f t="shared" si="5"/>
        <v>8.9257500000000007</v>
      </c>
      <c r="D152" s="409" t="s">
        <v>2706</v>
      </c>
      <c r="E152" s="409" t="s">
        <v>1110</v>
      </c>
      <c r="F152" s="409" t="s">
        <v>2706</v>
      </c>
      <c r="G152" s="409" t="s">
        <v>3895</v>
      </c>
      <c r="H152" s="465">
        <v>248.24555000000001</v>
      </c>
      <c r="I152" s="465">
        <v>8.9257500000000007</v>
      </c>
      <c r="J152" s="465">
        <v>30.6934</v>
      </c>
      <c r="K152" s="465">
        <v>3557.4756699999998</v>
      </c>
      <c r="L152" s="464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Secret Line II rámová lišta 2,7m strieborná</v>
      </c>
      <c r="C153" s="185">
        <f t="shared" si="5"/>
        <v>7.7287100000000004</v>
      </c>
      <c r="D153" s="409" t="s">
        <v>2991</v>
      </c>
      <c r="E153" s="409" t="s">
        <v>3896</v>
      </c>
      <c r="F153" s="409" t="s">
        <v>3897</v>
      </c>
      <c r="G153" s="409" t="s">
        <v>3898</v>
      </c>
      <c r="H153" s="465">
        <v>214.95316</v>
      </c>
      <c r="I153" s="465">
        <v>7.7287100000000004</v>
      </c>
      <c r="J153" s="465">
        <v>26.948399999999999</v>
      </c>
      <c r="K153" s="465">
        <v>3080.3800299999998</v>
      </c>
      <c r="L153" s="464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9" t="e">
        <v>#N/A</v>
      </c>
      <c r="E154" s="409" t="e">
        <v>#N/A</v>
      </c>
      <c r="F154" s="409" t="e">
        <v>#N/A</v>
      </c>
      <c r="G154" s="409" t="e">
        <v>#N/A</v>
      </c>
      <c r="H154" s="465" t="e">
        <v>#N/A</v>
      </c>
      <c r="I154" s="465" t="e">
        <v>#N/A</v>
      </c>
      <c r="J154" s="465" t="e">
        <v>#N/A</v>
      </c>
      <c r="K154" s="465" t="e">
        <v>#N/A</v>
      </c>
      <c r="L154" s="464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Ergo 16 úchytová lišta 2,7m striebor</v>
      </c>
      <c r="C155" s="185">
        <f t="shared" si="5"/>
        <v>7.8588300000000002</v>
      </c>
      <c r="D155" s="409" t="s">
        <v>3149</v>
      </c>
      <c r="E155" s="409" t="s">
        <v>3899</v>
      </c>
      <c r="F155" s="409" t="s">
        <v>1177</v>
      </c>
      <c r="G155" s="409" t="s">
        <v>3900</v>
      </c>
      <c r="H155" s="465">
        <v>218.57187999999999</v>
      </c>
      <c r="I155" s="465">
        <v>7.8588300000000002</v>
      </c>
      <c r="J155" s="465">
        <v>33.579320000000003</v>
      </c>
      <c r="K155" s="465">
        <v>3132.2380699999999</v>
      </c>
      <c r="L155" s="464" t="s">
        <v>539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ERGO 18 UCH.LIŠTA.2,70m STR.</v>
      </c>
      <c r="C156" s="185">
        <f t="shared" si="5"/>
        <v>7.8588300000000002</v>
      </c>
      <c r="D156" s="409" t="s">
        <v>2877</v>
      </c>
      <c r="E156" s="409" t="s">
        <v>3901</v>
      </c>
      <c r="F156" s="409" t="s">
        <v>3902</v>
      </c>
      <c r="G156" s="409" t="s">
        <v>3903</v>
      </c>
      <c r="H156" s="465">
        <v>215.76692</v>
      </c>
      <c r="I156" s="465">
        <v>7.8588300000000002</v>
      </c>
      <c r="J156" s="465">
        <v>33.579320000000003</v>
      </c>
      <c r="K156" s="465">
        <v>2995.4153099999999</v>
      </c>
      <c r="L156" s="464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9" t="e">
        <v>#N/A</v>
      </c>
      <c r="E157" s="409" t="e">
        <v>#N/A</v>
      </c>
      <c r="F157" s="409" t="e">
        <v>#N/A</v>
      </c>
      <c r="G157" s="409" t="e">
        <v>#N/A</v>
      </c>
      <c r="H157" s="465" t="e">
        <v>#N/A</v>
      </c>
      <c r="I157" s="465" t="e">
        <v>#N/A</v>
      </c>
      <c r="J157" s="465" t="e">
        <v>#N/A</v>
      </c>
      <c r="K157" s="465" t="e">
        <v>#N/A</v>
      </c>
      <c r="L157" s="464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úchytová lišta 2,7m zlatá</v>
      </c>
      <c r="C158" s="185">
        <f t="shared" si="5"/>
        <v>10.61722</v>
      </c>
      <c r="D158" s="409" t="s">
        <v>3258</v>
      </c>
      <c r="E158" s="409" t="s">
        <v>3904</v>
      </c>
      <c r="F158" s="409" t="s">
        <v>3258</v>
      </c>
      <c r="G158" s="409" t="s">
        <v>3905</v>
      </c>
      <c r="H158" s="465">
        <v>295.28917999999999</v>
      </c>
      <c r="I158" s="465">
        <v>10.61722</v>
      </c>
      <c r="J158" s="465">
        <v>36.509929999999997</v>
      </c>
      <c r="K158" s="465">
        <v>4231.6330699999999</v>
      </c>
      <c r="L158" s="464" t="s">
        <v>538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str">
        <f t="shared" si="4"/>
        <v>SEVROLL Factor 16-úchytová lišta strieborná</v>
      </c>
      <c r="C159" s="185" t="e">
        <f t="shared" si="5"/>
        <v>#N/A</v>
      </c>
      <c r="D159" s="409" t="s">
        <v>3906</v>
      </c>
      <c r="E159" s="409" t="s">
        <v>3907</v>
      </c>
      <c r="F159" s="409" t="s">
        <v>3908</v>
      </c>
      <c r="G159" s="409" t="s">
        <v>3909</v>
      </c>
      <c r="H159" s="465" t="e">
        <v>#N/A</v>
      </c>
      <c r="I159" s="465" t="e">
        <v>#N/A</v>
      </c>
      <c r="J159" s="465" t="e">
        <v>#N/A</v>
      </c>
      <c r="K159" s="465" t="e">
        <v>#N/A</v>
      </c>
      <c r="L159" s="464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stenová príchytka profilu Single</v>
      </c>
      <c r="C160" s="185">
        <f t="shared" si="5"/>
        <v>7.6766699999999997</v>
      </c>
      <c r="D160" s="409" t="s">
        <v>3192</v>
      </c>
      <c r="E160" s="409" t="s">
        <v>3910</v>
      </c>
      <c r="F160" s="409" t="s">
        <v>1097</v>
      </c>
      <c r="G160" s="409" t="s">
        <v>3911</v>
      </c>
      <c r="H160" s="465">
        <v>203.52159</v>
      </c>
      <c r="I160" s="465">
        <v>7.6766699999999997</v>
      </c>
      <c r="J160" s="465">
        <v>26.190639999999998</v>
      </c>
      <c r="K160" s="465">
        <v>2972.9264600000001</v>
      </c>
      <c r="L160" s="464" t="s">
        <v>539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horná vodiaca lišta Simple/Blue 2m(pre lamino 10mm)strieborná</v>
      </c>
      <c r="C161" s="185">
        <f t="shared" si="5"/>
        <v>8.0149600000000003</v>
      </c>
      <c r="D161" s="409" t="s">
        <v>3113</v>
      </c>
      <c r="E161" s="409" t="s">
        <v>3912</v>
      </c>
      <c r="F161" s="409" t="s">
        <v>3913</v>
      </c>
      <c r="G161" s="409" t="s">
        <v>3914</v>
      </c>
      <c r="H161" s="465">
        <v>220.50882999999999</v>
      </c>
      <c r="I161" s="465">
        <v>8.0149600000000003</v>
      </c>
      <c r="J161" s="465">
        <v>30.410119999999999</v>
      </c>
      <c r="K161" s="465">
        <v>3259.1334900000002</v>
      </c>
      <c r="L161" s="464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str">
        <f t="shared" si="4"/>
        <v>SEVROLL Simple spodné vedenie 2m oliva</v>
      </c>
      <c r="C162" s="185" t="e">
        <f t="shared" si="5"/>
        <v>#N/A</v>
      </c>
      <c r="D162" s="409" t="s">
        <v>3098</v>
      </c>
      <c r="E162" s="409" t="s">
        <v>3915</v>
      </c>
      <c r="F162" s="409" t="s">
        <v>3916</v>
      </c>
      <c r="G162" s="409" t="s">
        <v>3917</v>
      </c>
      <c r="H162" s="465" t="e">
        <v>#N/A</v>
      </c>
      <c r="I162" s="465" t="e">
        <v>#N/A</v>
      </c>
      <c r="J162" s="465" t="e">
        <v>#N/A</v>
      </c>
      <c r="K162" s="465" t="e">
        <v>#N/A</v>
      </c>
      <c r="L162" s="464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spodné vedenie  2m strieborná</v>
      </c>
      <c r="C163" s="185">
        <f t="shared" si="5"/>
        <v>8.0670099999999998</v>
      </c>
      <c r="D163" s="409" t="s">
        <v>3382</v>
      </c>
      <c r="E163" s="409" t="s">
        <v>3918</v>
      </c>
      <c r="F163" s="409" t="s">
        <v>3919</v>
      </c>
      <c r="G163" s="409" t="s">
        <v>3920</v>
      </c>
      <c r="H163" s="465">
        <v>221.94069999999999</v>
      </c>
      <c r="I163" s="465">
        <v>8.0670099999999998</v>
      </c>
      <c r="J163" s="465">
        <v>33.713859999999997</v>
      </c>
      <c r="K163" s="465">
        <v>3280.2966000000001</v>
      </c>
      <c r="L163" s="464" t="s">
        <v>695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horný vozík 18mm asymetrický - 2ks</v>
      </c>
      <c r="C164" s="185">
        <f t="shared" si="5"/>
        <v>7.1822600000000003</v>
      </c>
      <c r="D164" s="409" t="s">
        <v>3253</v>
      </c>
      <c r="E164" s="409" t="s">
        <v>3921</v>
      </c>
      <c r="F164" s="409" t="s">
        <v>3922</v>
      </c>
      <c r="G164" s="409" t="s">
        <v>3923</v>
      </c>
      <c r="H164" s="465">
        <v>199.57113000000001</v>
      </c>
      <c r="I164" s="465">
        <v>7.1822600000000003</v>
      </c>
      <c r="J164" s="465">
        <v>24.2668</v>
      </c>
      <c r="K164" s="465">
        <v>2774.16185</v>
      </c>
      <c r="L164" s="464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MDF VLOŽKA PRE KRYCIU LIŠ. 2,7 m</v>
      </c>
      <c r="C165" s="185">
        <f t="shared" si="5"/>
        <v>0</v>
      </c>
      <c r="D165" s="409" t="s">
        <v>2756</v>
      </c>
      <c r="E165" s="409" t="s">
        <v>3924</v>
      </c>
      <c r="F165" s="409" t="s">
        <v>3925</v>
      </c>
      <c r="G165" s="409" t="s">
        <v>3926</v>
      </c>
      <c r="H165" s="465">
        <v>0</v>
      </c>
      <c r="I165" s="465">
        <v>0</v>
      </c>
      <c r="J165" s="465">
        <v>0</v>
      </c>
      <c r="K165" s="465">
        <v>0</v>
      </c>
      <c r="L165" s="464" t="s">
        <v>540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úchytová lišta 2,7m oliva</v>
      </c>
      <c r="C166" s="185">
        <f t="shared" si="5"/>
        <v>10.61722</v>
      </c>
      <c r="D166" s="409" t="s">
        <v>3185</v>
      </c>
      <c r="E166" s="409" t="s">
        <v>3927</v>
      </c>
      <c r="F166" s="409" t="s">
        <v>3185</v>
      </c>
      <c r="G166" s="409" t="s">
        <v>3928</v>
      </c>
      <c r="H166" s="465">
        <v>295.28917999999999</v>
      </c>
      <c r="I166" s="465">
        <v>10.61722</v>
      </c>
      <c r="J166" s="465">
        <v>36.509929999999997</v>
      </c>
      <c r="K166" s="465">
        <v>4231.6330699999999</v>
      </c>
      <c r="L166" s="464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spodné vedenie 2,5m oliva</v>
      </c>
      <c r="C167" s="185">
        <f t="shared" si="5"/>
        <v>10.04472</v>
      </c>
      <c r="D167" s="409" t="s">
        <v>3417</v>
      </c>
      <c r="E167" s="409" t="s">
        <v>3929</v>
      </c>
      <c r="F167" s="409" t="s">
        <v>3930</v>
      </c>
      <c r="G167" s="409" t="s">
        <v>3931</v>
      </c>
      <c r="H167" s="465">
        <v>276.35198000000003</v>
      </c>
      <c r="I167" s="465">
        <v>10.04472</v>
      </c>
      <c r="J167" s="465">
        <v>38.62227</v>
      </c>
      <c r="K167" s="465">
        <v>4084.4985000000001</v>
      </c>
      <c r="L167" s="464" t="s">
        <v>539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spodné vedenie 2m surová</v>
      </c>
      <c r="C168" s="185">
        <f t="shared" si="5"/>
        <v>8.3272300000000001</v>
      </c>
      <c r="D168" s="409" t="s">
        <v>2946</v>
      </c>
      <c r="E168" s="409" t="s">
        <v>3932</v>
      </c>
      <c r="F168" s="409" t="s">
        <v>3933</v>
      </c>
      <c r="G168" s="409" t="s">
        <v>3934</v>
      </c>
      <c r="H168" s="465">
        <v>231.59934999999999</v>
      </c>
      <c r="I168" s="465">
        <v>8.3272300000000001</v>
      </c>
      <c r="J168" s="465">
        <v>28.63524</v>
      </c>
      <c r="K168" s="465">
        <v>3318.9278399999998</v>
      </c>
      <c r="L168" s="464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vedenie Galaxy B 50kg na stenu 1,5m</v>
      </c>
      <c r="C169" s="185">
        <f t="shared" si="5"/>
        <v>9.8105200000000004</v>
      </c>
      <c r="D169" s="409" t="s">
        <v>3318</v>
      </c>
      <c r="E169" s="409" t="s">
        <v>3935</v>
      </c>
      <c r="F169" s="409" t="s">
        <v>1087</v>
      </c>
      <c r="G169" s="409" t="s">
        <v>3936</v>
      </c>
      <c r="H169" s="465">
        <v>260.09368000000001</v>
      </c>
      <c r="I169" s="465">
        <v>9.8105200000000004</v>
      </c>
      <c r="J169" s="465">
        <v>33.484079999999999</v>
      </c>
      <c r="K169" s="465">
        <v>3799.2991000000002</v>
      </c>
      <c r="L169" s="464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záslepka profilu (4 ks) strieborná</v>
      </c>
      <c r="C170" s="185">
        <f t="shared" si="5"/>
        <v>6.9740599999999997</v>
      </c>
      <c r="D170" s="409" t="s">
        <v>3227</v>
      </c>
      <c r="E170" s="409" t="s">
        <v>3937</v>
      </c>
      <c r="F170" s="409" t="s">
        <v>3938</v>
      </c>
      <c r="G170" s="409" t="s">
        <v>3939</v>
      </c>
      <c r="H170" s="465">
        <v>205.82560000000001</v>
      </c>
      <c r="I170" s="465">
        <v>6.9740599999999997</v>
      </c>
      <c r="J170" s="465">
        <v>26.683199999999999</v>
      </c>
      <c r="K170" s="465">
        <v>2858.3762999999999</v>
      </c>
      <c r="L170" s="464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nalepovacia úchytka strieborná</v>
      </c>
      <c r="C171" s="185">
        <f t="shared" si="5"/>
        <v>6.1673600000000004</v>
      </c>
      <c r="D171" s="409" t="s">
        <v>3273</v>
      </c>
      <c r="E171" s="409" t="s">
        <v>3940</v>
      </c>
      <c r="F171" s="409" t="s">
        <v>3941</v>
      </c>
      <c r="G171" s="409" t="s">
        <v>3942</v>
      </c>
      <c r="H171" s="465">
        <v>171.52828</v>
      </c>
      <c r="I171" s="465">
        <v>6.1673600000000004</v>
      </c>
      <c r="J171" s="465">
        <v>24.255600000000001</v>
      </c>
      <c r="K171" s="465">
        <v>2458.08106</v>
      </c>
      <c r="L171" s="464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nalepovacia úchytka transparentná</v>
      </c>
      <c r="C172" s="185">
        <f t="shared" si="5"/>
        <v>6.9740599999999997</v>
      </c>
      <c r="D172" s="409" t="s">
        <v>3437</v>
      </c>
      <c r="E172" s="409" t="s">
        <v>3943</v>
      </c>
      <c r="F172" s="409" t="s">
        <v>3944</v>
      </c>
      <c r="G172" s="409" t="s">
        <v>3945</v>
      </c>
      <c r="H172" s="465">
        <v>193.96446</v>
      </c>
      <c r="I172" s="465">
        <v>6.9740599999999997</v>
      </c>
      <c r="J172" s="465">
        <v>24.255600000000001</v>
      </c>
      <c r="K172" s="465">
        <v>2779.6021500000002</v>
      </c>
      <c r="L172" s="464" t="s">
        <v>539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str">
        <f t="shared" si="4"/>
        <v>SEVROLL 02997 Maxim II maska 2,5m oliva</v>
      </c>
      <c r="C173" s="185" t="e">
        <f t="shared" si="5"/>
        <v>#N/A</v>
      </c>
      <c r="D173" s="409" t="s">
        <v>3270</v>
      </c>
      <c r="E173" s="409" t="s">
        <v>3946</v>
      </c>
      <c r="F173" s="409" t="s">
        <v>3270</v>
      </c>
      <c r="G173" s="409" t="s">
        <v>3947</v>
      </c>
      <c r="H173" s="465" t="e">
        <v>#N/A</v>
      </c>
      <c r="I173" s="465" t="e">
        <v>#N/A</v>
      </c>
      <c r="J173" s="465" t="e">
        <v>#N/A</v>
      </c>
      <c r="K173" s="465" t="e">
        <v>#N/A</v>
      </c>
      <c r="L173" s="464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Gemini II spodné vedenie 1,7m strieborná</v>
      </c>
      <c r="C174" s="185">
        <f t="shared" si="5"/>
        <v>9.4461999999999993</v>
      </c>
      <c r="D174" s="409" t="s">
        <v>2753</v>
      </c>
      <c r="E174" s="409" t="s">
        <v>3948</v>
      </c>
      <c r="F174" s="409" t="s">
        <v>3949</v>
      </c>
      <c r="G174" s="409" t="s">
        <v>3950</v>
      </c>
      <c r="H174" s="465">
        <v>262.72050999999999</v>
      </c>
      <c r="I174" s="465">
        <v>9.4461999999999993</v>
      </c>
      <c r="J174" s="465">
        <v>32.4831</v>
      </c>
      <c r="K174" s="465">
        <v>3600.4495400000001</v>
      </c>
      <c r="L174" s="464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str">
        <f t="shared" si="4"/>
        <v>SEVROLL spojovacia lišta H08 16 3m strie</v>
      </c>
      <c r="C175" s="185" t="e">
        <f t="shared" si="5"/>
        <v>#N/A</v>
      </c>
      <c r="D175" s="409" t="s">
        <v>3169</v>
      </c>
      <c r="E175" s="409" t="s">
        <v>3951</v>
      </c>
      <c r="F175" s="409" t="s">
        <v>3952</v>
      </c>
      <c r="G175" s="409" t="s">
        <v>3953</v>
      </c>
      <c r="H175" s="465" t="e">
        <v>#N/A</v>
      </c>
      <c r="I175" s="465" t="e">
        <v>#N/A</v>
      </c>
      <c r="J175" s="465" t="e">
        <v>#N/A</v>
      </c>
      <c r="K175" s="465" t="e">
        <v>#N/A</v>
      </c>
      <c r="L175" s="464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maska Elegant II 4,05m biela lesk</v>
      </c>
      <c r="C176" s="185">
        <f t="shared" si="5"/>
        <v>7.93689</v>
      </c>
      <c r="D176" s="409" t="s">
        <v>3370</v>
      </c>
      <c r="E176" s="409" t="s">
        <v>3954</v>
      </c>
      <c r="F176" s="409" t="s">
        <v>3955</v>
      </c>
      <c r="G176" s="409" t="s">
        <v>3956</v>
      </c>
      <c r="H176" s="465">
        <v>220.74315000000001</v>
      </c>
      <c r="I176" s="465">
        <v>7.93689</v>
      </c>
      <c r="J176" s="465">
        <v>29.07</v>
      </c>
      <c r="K176" s="465">
        <v>3163.3533000000002</v>
      </c>
      <c r="L176" s="464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horný vozík 18mm - 2ks</v>
      </c>
      <c r="C177" s="185">
        <f t="shared" si="5"/>
        <v>7.1822600000000003</v>
      </c>
      <c r="D177" s="409" t="s">
        <v>3154</v>
      </c>
      <c r="E177" s="409" t="s">
        <v>3957</v>
      </c>
      <c r="F177" s="409" t="s">
        <v>3958</v>
      </c>
      <c r="G177" s="409" t="s">
        <v>3959</v>
      </c>
      <c r="H177" s="465">
        <v>199.57113000000001</v>
      </c>
      <c r="I177" s="465">
        <v>7.1822600000000003</v>
      </c>
      <c r="J177" s="465">
        <v>24.2668</v>
      </c>
      <c r="K177" s="465">
        <v>2774.16185</v>
      </c>
      <c r="L177" s="464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horný vozík 18mm - 2ks</v>
      </c>
      <c r="C178" s="185">
        <f t="shared" si="5"/>
        <v>7.1822600000000003</v>
      </c>
      <c r="D178" s="409" t="s">
        <v>3158</v>
      </c>
      <c r="E178" s="409" t="s">
        <v>3960</v>
      </c>
      <c r="F178" s="409" t="s">
        <v>3961</v>
      </c>
      <c r="G178" s="409" t="s">
        <v>3962</v>
      </c>
      <c r="H178" s="465">
        <v>199.57113000000001</v>
      </c>
      <c r="I178" s="465">
        <v>7.1822600000000003</v>
      </c>
      <c r="J178" s="465">
        <v>24.2668</v>
      </c>
      <c r="K178" s="465">
        <v>2774.16185</v>
      </c>
      <c r="L178" s="464" t="s">
        <v>540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16 II úchytová lišta 2,7m strieborná</v>
      </c>
      <c r="C179" s="185">
        <f t="shared" si="5"/>
        <v>10.22688</v>
      </c>
      <c r="D179" s="409" t="s">
        <v>2864</v>
      </c>
      <c r="E179" s="409" t="s">
        <v>3963</v>
      </c>
      <c r="F179" s="409" t="s">
        <v>3964</v>
      </c>
      <c r="G179" s="409" t="s">
        <v>3965</v>
      </c>
      <c r="H179" s="465">
        <v>284.43295000000001</v>
      </c>
      <c r="I179" s="465">
        <v>10.22688</v>
      </c>
      <c r="J179" s="465">
        <v>72.593400000000003</v>
      </c>
      <c r="K179" s="465">
        <v>4076.0581499999998</v>
      </c>
      <c r="L179" s="464" t="s">
        <v>539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str">
        <f t="shared" si="4"/>
        <v>SEVROLL Maxim spojovacia lišta H18 1,8m oliv</v>
      </c>
      <c r="C180" s="185" t="e">
        <f t="shared" si="5"/>
        <v>#N/A</v>
      </c>
      <c r="D180" s="409" t="s">
        <v>3177</v>
      </c>
      <c r="E180" s="409" t="s">
        <v>3966</v>
      </c>
      <c r="F180" s="409" t="s">
        <v>1126</v>
      </c>
      <c r="G180" s="409" t="s">
        <v>3967</v>
      </c>
      <c r="H180" s="465" t="e">
        <v>#N/A</v>
      </c>
      <c r="I180" s="465" t="e">
        <v>#N/A</v>
      </c>
      <c r="J180" s="465" t="e">
        <v>#N/A</v>
      </c>
      <c r="K180" s="465" t="e">
        <v>#N/A</v>
      </c>
      <c r="L180" s="464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uholník K2 3m oliva tmavá kartáč.</v>
      </c>
      <c r="C181" s="185">
        <f t="shared" si="5"/>
        <v>8.6395</v>
      </c>
      <c r="D181" s="409" t="s">
        <v>3039</v>
      </c>
      <c r="E181" s="409" t="s">
        <v>3968</v>
      </c>
      <c r="F181" s="409" t="s">
        <v>1092</v>
      </c>
      <c r="G181" s="409" t="s">
        <v>3969</v>
      </c>
      <c r="H181" s="465">
        <v>240.28432000000001</v>
      </c>
      <c r="I181" s="465">
        <v>8.6395</v>
      </c>
      <c r="J181" s="465">
        <v>31.558800000000002</v>
      </c>
      <c r="K181" s="465">
        <v>3443.3875499999999</v>
      </c>
      <c r="L181" s="464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Slim Line II rámová lišta 2,7m strieborná</v>
      </c>
      <c r="C182" s="185">
        <f t="shared" si="5"/>
        <v>8.7175700000000003</v>
      </c>
      <c r="D182" s="409" t="s">
        <v>2992</v>
      </c>
      <c r="E182" s="409" t="s">
        <v>3970</v>
      </c>
      <c r="F182" s="409" t="s">
        <v>3971</v>
      </c>
      <c r="G182" s="409" t="s">
        <v>3972</v>
      </c>
      <c r="H182" s="465">
        <v>242.45559</v>
      </c>
      <c r="I182" s="465">
        <v>8.7175700000000003</v>
      </c>
      <c r="J182" s="465">
        <v>30.498000000000001</v>
      </c>
      <c r="K182" s="465">
        <v>3474.50279</v>
      </c>
      <c r="L182" s="464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spojovacia lišta H08/16 3m oliva</v>
      </c>
      <c r="C183" s="185">
        <f t="shared" si="5"/>
        <v>0</v>
      </c>
      <c r="D183" s="409" t="s">
        <v>3170</v>
      </c>
      <c r="E183" s="409" t="s">
        <v>3973</v>
      </c>
      <c r="F183" s="409" t="s">
        <v>3974</v>
      </c>
      <c r="G183" s="409" t="s">
        <v>3975</v>
      </c>
      <c r="H183" s="465">
        <v>0</v>
      </c>
      <c r="I183" s="465">
        <v>0</v>
      </c>
      <c r="J183" s="465">
        <v>33.774619999999999</v>
      </c>
      <c r="K183" s="465">
        <v>0</v>
      </c>
      <c r="L183" s="464" t="s">
        <v>540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spojovacia lišta H08/18 3m oliva</v>
      </c>
      <c r="C184" s="185">
        <f t="shared" si="5"/>
        <v>10.77336</v>
      </c>
      <c r="D184" s="409" t="s">
        <v>2849</v>
      </c>
      <c r="E184" s="409" t="s">
        <v>3976</v>
      </c>
      <c r="F184" s="409" t="s">
        <v>3977</v>
      </c>
      <c r="G184" s="409" t="s">
        <v>3978</v>
      </c>
      <c r="H184" s="465">
        <v>299.63164999999998</v>
      </c>
      <c r="I184" s="465">
        <v>10.77336</v>
      </c>
      <c r="J184" s="465">
        <v>37.046849999999999</v>
      </c>
      <c r="K184" s="465">
        <v>4293.8627500000002</v>
      </c>
      <c r="L184" s="464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spodné vedenie  2m oliva</v>
      </c>
      <c r="C185" s="185">
        <f t="shared" si="5"/>
        <v>10.096769999999999</v>
      </c>
      <c r="D185" s="409" t="s">
        <v>3401</v>
      </c>
      <c r="E185" s="409" t="s">
        <v>3979</v>
      </c>
      <c r="F185" s="409" t="s">
        <v>3980</v>
      </c>
      <c r="G185" s="409" t="s">
        <v>3981</v>
      </c>
      <c r="H185" s="465">
        <v>277.78384999999997</v>
      </c>
      <c r="I185" s="465">
        <v>10.096769999999999</v>
      </c>
      <c r="J185" s="465">
        <v>37.583959999999998</v>
      </c>
      <c r="K185" s="465">
        <v>4105.6616400000003</v>
      </c>
      <c r="L185" s="464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spojovacia lišta T Decor 3m strieborná</v>
      </c>
      <c r="C186" s="185">
        <f t="shared" si="5"/>
        <v>9.3160900000000009</v>
      </c>
      <c r="D186" s="409" t="s">
        <v>2703</v>
      </c>
      <c r="E186" s="409" t="s">
        <v>3982</v>
      </c>
      <c r="F186" s="409" t="s">
        <v>3983</v>
      </c>
      <c r="G186" s="409" t="s">
        <v>2703</v>
      </c>
      <c r="H186" s="465">
        <v>259.10178000000002</v>
      </c>
      <c r="I186" s="465">
        <v>9.3160900000000009</v>
      </c>
      <c r="J186" s="465">
        <v>34.210799999999999</v>
      </c>
      <c r="K186" s="465">
        <v>3713.05062</v>
      </c>
      <c r="L186" s="464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spodné vedenie 3m strieborná</v>
      </c>
      <c r="C187" s="185">
        <f t="shared" si="5"/>
        <v>10.04472</v>
      </c>
      <c r="D187" s="409" t="s">
        <v>3418</v>
      </c>
      <c r="E187" s="409" t="s">
        <v>3984</v>
      </c>
      <c r="F187" s="409" t="s">
        <v>3985</v>
      </c>
      <c r="G187" s="409" t="s">
        <v>3986</v>
      </c>
      <c r="H187" s="465">
        <v>276.35198000000003</v>
      </c>
      <c r="I187" s="465">
        <v>10.04472</v>
      </c>
      <c r="J187" s="465">
        <v>40.997819999999997</v>
      </c>
      <c r="K187" s="465">
        <v>4084.4985000000001</v>
      </c>
      <c r="L187" s="464" t="s">
        <v>539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horný vozík 10mm - 2ks</v>
      </c>
      <c r="C188" s="185">
        <f t="shared" si="5"/>
        <v>7.5986000000000002</v>
      </c>
      <c r="D188" s="409" t="s">
        <v>3157</v>
      </c>
      <c r="E188" s="409" t="s">
        <v>3987</v>
      </c>
      <c r="F188" s="409" t="s">
        <v>3988</v>
      </c>
      <c r="G188" s="409" t="s">
        <v>3989</v>
      </c>
      <c r="H188" s="465">
        <v>224.25773000000001</v>
      </c>
      <c r="I188" s="465">
        <v>7.5986000000000002</v>
      </c>
      <c r="J188" s="465">
        <v>25.3689</v>
      </c>
      <c r="K188" s="465">
        <v>3114.3501299999998</v>
      </c>
      <c r="L188" s="464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ERGO UCH.LIŠTA.2,70m OLIVOVÁ</v>
      </c>
      <c r="C189" s="185">
        <f t="shared" si="5"/>
        <v>10.487109999999999</v>
      </c>
      <c r="D189" s="409" t="s">
        <v>2878</v>
      </c>
      <c r="E189" s="409" t="s">
        <v>3990</v>
      </c>
      <c r="F189" s="409" t="s">
        <v>3991</v>
      </c>
      <c r="G189" s="409" t="s">
        <v>3992</v>
      </c>
      <c r="H189" s="465">
        <v>287.92738000000003</v>
      </c>
      <c r="I189" s="465">
        <v>10.487109999999999</v>
      </c>
      <c r="J189" s="465">
        <v>41.357080000000003</v>
      </c>
      <c r="K189" s="465">
        <v>3997.1932900000002</v>
      </c>
      <c r="L189" s="464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SPOJOVACIA LIŠTA H04/18 3M STRIEBN</v>
      </c>
      <c r="C190" s="185">
        <f t="shared" si="5"/>
        <v>8.5354100000000006</v>
      </c>
      <c r="D190" s="409" t="s">
        <v>3993</v>
      </c>
      <c r="E190" s="409" t="s">
        <v>3994</v>
      </c>
      <c r="F190" s="409" t="s">
        <v>3995</v>
      </c>
      <c r="G190" s="409" t="s">
        <v>3996</v>
      </c>
      <c r="H190" s="465">
        <v>237.38934</v>
      </c>
      <c r="I190" s="465">
        <v>8.5354100000000006</v>
      </c>
      <c r="J190" s="465">
        <v>29.712599999999998</v>
      </c>
      <c r="K190" s="465">
        <v>3401.9011099999998</v>
      </c>
      <c r="L190" s="464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spojovacia lišta H08/18 3m strieborn</v>
      </c>
      <c r="C191" s="185">
        <f t="shared" si="5"/>
        <v>8.8216599999999996</v>
      </c>
      <c r="D191" s="409" t="s">
        <v>2850</v>
      </c>
      <c r="E191" s="409" t="s">
        <v>3997</v>
      </c>
      <c r="F191" s="409" t="s">
        <v>1208</v>
      </c>
      <c r="G191" s="409" t="s">
        <v>3998</v>
      </c>
      <c r="H191" s="465">
        <v>245.35057</v>
      </c>
      <c r="I191" s="465">
        <v>8.8216599999999996</v>
      </c>
      <c r="J191" s="465">
        <v>39.694769999999998</v>
      </c>
      <c r="K191" s="465">
        <v>3515.9892300000001</v>
      </c>
      <c r="L191" s="464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maska 3m strieborná</v>
      </c>
      <c r="C192" s="185">
        <f t="shared" si="5"/>
        <v>8.2491599999999998</v>
      </c>
      <c r="D192" s="409" t="s">
        <v>2895</v>
      </c>
      <c r="E192" s="409" t="s">
        <v>3999</v>
      </c>
      <c r="F192" s="409" t="s">
        <v>4000</v>
      </c>
      <c r="G192" s="409" t="s">
        <v>4001</v>
      </c>
      <c r="H192" s="465">
        <v>229.42812000000001</v>
      </c>
      <c r="I192" s="465">
        <v>8.2491599999999998</v>
      </c>
      <c r="J192" s="465">
        <v>28.845600000000001</v>
      </c>
      <c r="K192" s="465">
        <v>3287.8130200000001</v>
      </c>
      <c r="L192" s="464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18 II úchytová lišta 2,7m strieborná</v>
      </c>
      <c r="C193" s="185">
        <f t="shared" si="5"/>
        <v>10.409039999999999</v>
      </c>
      <c r="D193" s="409" t="s">
        <v>2848</v>
      </c>
      <c r="E193" s="409" t="s">
        <v>4002</v>
      </c>
      <c r="F193" s="409" t="s">
        <v>4003</v>
      </c>
      <c r="G193" s="409" t="s">
        <v>4004</v>
      </c>
      <c r="H193" s="465">
        <v>289.49919</v>
      </c>
      <c r="I193" s="465">
        <v>10.409039999999999</v>
      </c>
      <c r="J193" s="465">
        <v>45.462009999999999</v>
      </c>
      <c r="K193" s="465">
        <v>4148.6598199999999</v>
      </c>
      <c r="L193" s="464" t="s">
        <v>695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Simple spodné vedenie 2,5m strieborná</v>
      </c>
      <c r="C194" s="185">
        <f t="shared" si="5"/>
        <v>9.5242699999999996</v>
      </c>
      <c r="D194" s="409" t="s">
        <v>3089</v>
      </c>
      <c r="E194" s="409" t="s">
        <v>4005</v>
      </c>
      <c r="F194" s="409" t="s">
        <v>4006</v>
      </c>
      <c r="G194" s="409" t="s">
        <v>4007</v>
      </c>
      <c r="H194" s="465">
        <v>262.03323</v>
      </c>
      <c r="I194" s="465">
        <v>9.5242699999999996</v>
      </c>
      <c r="J194" s="465">
        <v>34.437539999999998</v>
      </c>
      <c r="K194" s="465">
        <v>3872.8664600000002</v>
      </c>
      <c r="L194" s="464" t="s">
        <v>539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uholník K2 3m čierna kartač</v>
      </c>
      <c r="C195" s="185">
        <f t="shared" si="5"/>
        <v>8.6395</v>
      </c>
      <c r="D195" s="409" t="s">
        <v>3047</v>
      </c>
      <c r="E195" s="409" t="s">
        <v>4008</v>
      </c>
      <c r="F195" s="409" t="s">
        <v>1198</v>
      </c>
      <c r="G195" s="409" t="s">
        <v>4009</v>
      </c>
      <c r="H195" s="465">
        <v>240.28432000000001</v>
      </c>
      <c r="I195" s="465">
        <v>8.6395</v>
      </c>
      <c r="J195" s="465">
        <v>31.558800000000002</v>
      </c>
      <c r="K195" s="465">
        <v>3443.3875499999999</v>
      </c>
      <c r="L195" s="464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uholník K2 Decor 3m oliva kartáč.</v>
      </c>
      <c r="C196" s="185">
        <f t="shared" ref="C196:C259" si="7">IF($A$2=1,H196,IF($A$2=2,I196,IF($A$2=3,J196,IF($A$2=4,K196,IF($A$2&gt;4,O196,"zadat jazyk")))))</f>
        <v>8.6395</v>
      </c>
      <c r="D196" s="409" t="s">
        <v>2939</v>
      </c>
      <c r="E196" s="409" t="s">
        <v>4010</v>
      </c>
      <c r="F196" s="409" t="s">
        <v>1195</v>
      </c>
      <c r="G196" s="409" t="s">
        <v>4011</v>
      </c>
      <c r="H196" s="465">
        <v>240.28432000000001</v>
      </c>
      <c r="I196" s="465">
        <v>8.6395</v>
      </c>
      <c r="J196" s="465">
        <v>31.558800000000002</v>
      </c>
      <c r="K196" s="465">
        <v>3443.3875499999999</v>
      </c>
      <c r="L196" s="464" t="s">
        <v>538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Hide M spodné vedenie Hide M 3m stri</v>
      </c>
      <c r="C197" s="185">
        <f t="shared" si="7"/>
        <v>8.7435899999999993</v>
      </c>
      <c r="D197" s="409" t="s">
        <v>3000</v>
      </c>
      <c r="E197" s="409" t="s">
        <v>4012</v>
      </c>
      <c r="F197" s="409" t="s">
        <v>1244</v>
      </c>
      <c r="G197" s="409" t="s">
        <v>4013</v>
      </c>
      <c r="H197" s="465">
        <v>231.80763999999999</v>
      </c>
      <c r="I197" s="465">
        <v>8.7435899999999993</v>
      </c>
      <c r="J197" s="465">
        <v>29.8307</v>
      </c>
      <c r="K197" s="465">
        <v>3386.1127700000002</v>
      </c>
      <c r="L197" s="464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9" t="e">
        <v>#N/A</v>
      </c>
      <c r="E198" s="409" t="e">
        <v>#N/A</v>
      </c>
      <c r="F198" s="409" t="e">
        <v>#N/A</v>
      </c>
      <c r="G198" s="409" t="e">
        <v>#N/A</v>
      </c>
      <c r="H198" s="465" t="e">
        <v>#N/A</v>
      </c>
      <c r="I198" s="465" t="e">
        <v>#N/A</v>
      </c>
      <c r="J198" s="465" t="e">
        <v>#N/A</v>
      </c>
      <c r="K198" s="465" t="e">
        <v>#N/A</v>
      </c>
      <c r="L198" s="464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spodné vedenie 2,35m strieborná</v>
      </c>
      <c r="C199" s="185">
        <f t="shared" si="7"/>
        <v>9.9679599999999997</v>
      </c>
      <c r="D199" s="409" t="s">
        <v>2924</v>
      </c>
      <c r="E199" s="409" t="s">
        <v>4014</v>
      </c>
      <c r="F199" s="409" t="s">
        <v>4015</v>
      </c>
      <c r="G199" s="409" t="s">
        <v>4016</v>
      </c>
      <c r="H199" s="465">
        <v>264.23309</v>
      </c>
      <c r="I199" s="465">
        <v>9.9679599999999997</v>
      </c>
      <c r="J199" s="465">
        <v>34.00788</v>
      </c>
      <c r="K199" s="465">
        <v>3859.7651500000002</v>
      </c>
      <c r="L199" s="464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horná vodiaca lišta Simple/Blue 2,5m (pre lamino 10mm) strieborná</v>
      </c>
      <c r="C200" s="185">
        <f t="shared" si="7"/>
        <v>10.018700000000001</v>
      </c>
      <c r="D200" s="409" t="s">
        <v>3114</v>
      </c>
      <c r="E200" s="409" t="s">
        <v>4017</v>
      </c>
      <c r="F200" s="409" t="s">
        <v>4018</v>
      </c>
      <c r="G200" s="409" t="s">
        <v>4019</v>
      </c>
      <c r="H200" s="465">
        <v>275.63605000000001</v>
      </c>
      <c r="I200" s="465">
        <v>10.018700000000001</v>
      </c>
      <c r="J200" s="465">
        <v>38.008719999999997</v>
      </c>
      <c r="K200" s="465">
        <v>4073.9169499999998</v>
      </c>
      <c r="L200" s="464" t="s">
        <v>539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spodná krycia lišta Simple/Blue 1,5m (pre lamino 10mm) strieborná</v>
      </c>
      <c r="C201" s="185">
        <f t="shared" si="7"/>
        <v>10.04472</v>
      </c>
      <c r="D201" s="409" t="s">
        <v>3118</v>
      </c>
      <c r="E201" s="409" t="s">
        <v>4020</v>
      </c>
      <c r="F201" s="409" t="s">
        <v>4021</v>
      </c>
      <c r="G201" s="409" t="s">
        <v>4022</v>
      </c>
      <c r="H201" s="465">
        <v>276.35198000000003</v>
      </c>
      <c r="I201" s="465">
        <v>10.04472</v>
      </c>
      <c r="J201" s="465">
        <v>34.248750000000001</v>
      </c>
      <c r="K201" s="465">
        <v>4084.4985000000001</v>
      </c>
      <c r="L201" s="464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maska 3m oliva</v>
      </c>
      <c r="C202" s="185">
        <f t="shared" si="7"/>
        <v>10.07075</v>
      </c>
      <c r="D202" s="409" t="s">
        <v>2899</v>
      </c>
      <c r="E202" s="409" t="s">
        <v>4023</v>
      </c>
      <c r="F202" s="409" t="s">
        <v>2899</v>
      </c>
      <c r="G202" s="409" t="s">
        <v>4024</v>
      </c>
      <c r="H202" s="465">
        <v>280.09048000000001</v>
      </c>
      <c r="I202" s="465">
        <v>10.07075</v>
      </c>
      <c r="J202" s="465">
        <v>34.630749999999999</v>
      </c>
      <c r="K202" s="465">
        <v>4013.8284699999999</v>
      </c>
      <c r="L202" s="464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spodné vedenie 2,5m strieborná</v>
      </c>
      <c r="C203" s="185">
        <f t="shared" si="7"/>
        <v>10.096769999999999</v>
      </c>
      <c r="D203" s="409" t="s">
        <v>3405</v>
      </c>
      <c r="E203" s="409" t="s">
        <v>4025</v>
      </c>
      <c r="F203" s="409" t="s">
        <v>4026</v>
      </c>
      <c r="G203" s="409" t="s">
        <v>4027</v>
      </c>
      <c r="H203" s="465">
        <v>277.78384999999997</v>
      </c>
      <c r="I203" s="465">
        <v>10.096769999999999</v>
      </c>
      <c r="J203" s="465">
        <v>41.627099999999999</v>
      </c>
      <c r="K203" s="465">
        <v>4105.6616400000003</v>
      </c>
      <c r="L203" s="464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tlmič dorazu Mini SV-60 (40-60kg)</v>
      </c>
      <c r="C204" s="185">
        <f t="shared" si="7"/>
        <v>9.5763200000000008</v>
      </c>
      <c r="D204" s="409" t="s">
        <v>3303</v>
      </c>
      <c r="E204" s="409" t="s">
        <v>4028</v>
      </c>
      <c r="F204" s="409" t="s">
        <v>4029</v>
      </c>
      <c r="G204" s="409" t="s">
        <v>4030</v>
      </c>
      <c r="H204" s="465">
        <v>282.62619999999998</v>
      </c>
      <c r="I204" s="465">
        <v>9.5763200000000008</v>
      </c>
      <c r="J204" s="465">
        <v>38.056199999999997</v>
      </c>
      <c r="K204" s="465">
        <v>3924.9345899999998</v>
      </c>
      <c r="L204" s="464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str">
        <f t="shared" si="6"/>
        <v>SEVROLL Fiesta 16 úchytová lišta 2,70m strieborná</v>
      </c>
      <c r="C205" s="185" t="e">
        <f t="shared" si="7"/>
        <v>#N/A</v>
      </c>
      <c r="D205" s="409" t="s">
        <v>3150</v>
      </c>
      <c r="E205" s="409" t="s">
        <v>4031</v>
      </c>
      <c r="F205" s="409" t="s">
        <v>4032</v>
      </c>
      <c r="G205" s="409" t="s">
        <v>4033</v>
      </c>
      <c r="H205" s="465" t="e">
        <v>#N/A</v>
      </c>
      <c r="I205" s="465" t="e">
        <v>#N/A</v>
      </c>
      <c r="J205" s="465" t="e">
        <v>#N/A</v>
      </c>
      <c r="K205" s="465" t="e">
        <v>#N/A</v>
      </c>
      <c r="L205" s="464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Hide M spodné vedenie 3m oliva</v>
      </c>
      <c r="C206" s="185">
        <f t="shared" si="7"/>
        <v>10.61722</v>
      </c>
      <c r="D206" s="409" t="s">
        <v>3048</v>
      </c>
      <c r="E206" s="409" t="s">
        <v>4034</v>
      </c>
      <c r="F206" s="409" t="s">
        <v>4035</v>
      </c>
      <c r="G206" s="409" t="s">
        <v>4036</v>
      </c>
      <c r="H206" s="465">
        <v>281.48068999999998</v>
      </c>
      <c r="I206" s="465">
        <v>10.61722</v>
      </c>
      <c r="J206" s="465">
        <v>36.22298</v>
      </c>
      <c r="K206" s="465">
        <v>4111.7082499999997</v>
      </c>
      <c r="L206" s="464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spodné vedenie 3m oliva</v>
      </c>
      <c r="C207" s="185">
        <f t="shared" si="7"/>
        <v>11.9704</v>
      </c>
      <c r="D207" s="409" t="s">
        <v>3419</v>
      </c>
      <c r="E207" s="409" t="s">
        <v>4037</v>
      </c>
      <c r="F207" s="409" t="s">
        <v>4038</v>
      </c>
      <c r="G207" s="409" t="s">
        <v>4039</v>
      </c>
      <c r="H207" s="465">
        <v>329.33136999999999</v>
      </c>
      <c r="I207" s="465">
        <v>11.9704</v>
      </c>
      <c r="J207" s="465">
        <v>45.780369999999998</v>
      </c>
      <c r="K207" s="465">
        <v>4867.5369000000001</v>
      </c>
      <c r="L207" s="464" t="s">
        <v>539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maska Elegant II 4,05m oliva tmavá kartáčovaná</v>
      </c>
      <c r="C208" s="185">
        <f t="shared" si="7"/>
        <v>11.033580000000001</v>
      </c>
      <c r="D208" s="409" t="s">
        <v>3368</v>
      </c>
      <c r="E208" s="409" t="s">
        <v>4040</v>
      </c>
      <c r="F208" s="409" t="s">
        <v>3368</v>
      </c>
      <c r="G208" s="409" t="s">
        <v>4041</v>
      </c>
      <c r="H208" s="465">
        <v>306.86912999999998</v>
      </c>
      <c r="I208" s="465">
        <v>11.033580000000001</v>
      </c>
      <c r="J208" s="465">
        <v>37.941690000000001</v>
      </c>
      <c r="K208" s="465">
        <v>4397.5792300000003</v>
      </c>
      <c r="L208" s="464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Fala úchytová lišta 10mm 2,5m strie</v>
      </c>
      <c r="C209" s="185">
        <f t="shared" si="7"/>
        <v>9.6804100000000002</v>
      </c>
      <c r="D209" s="409" t="s">
        <v>3316</v>
      </c>
      <c r="E209" s="409" t="s">
        <v>4042</v>
      </c>
      <c r="F209" s="409" t="s">
        <v>1169</v>
      </c>
      <c r="G209" s="409" t="s">
        <v>4043</v>
      </c>
      <c r="H209" s="465">
        <v>266.32884000000001</v>
      </c>
      <c r="I209" s="465">
        <v>9.6804100000000002</v>
      </c>
      <c r="J209" s="465">
        <v>42.051870000000001</v>
      </c>
      <c r="K209" s="465">
        <v>3936.3558400000002</v>
      </c>
      <c r="L209" s="464" t="s">
        <v>539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klin pre lamino hrúbka 2mm (100 ks)</v>
      </c>
      <c r="C210" s="185">
        <f t="shared" si="7"/>
        <v>8.7956400000000006</v>
      </c>
      <c r="D210" s="409" t="s">
        <v>3301</v>
      </c>
      <c r="E210" s="409" t="s">
        <v>4044</v>
      </c>
      <c r="F210" s="409" t="s">
        <v>4045</v>
      </c>
      <c r="G210" s="409" t="s">
        <v>4046</v>
      </c>
      <c r="H210" s="465">
        <v>244.62682000000001</v>
      </c>
      <c r="I210" s="465">
        <v>8.7956400000000006</v>
      </c>
      <c r="J210" s="465">
        <v>30.24597</v>
      </c>
      <c r="K210" s="465">
        <v>3505.61762</v>
      </c>
      <c r="L210" s="464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okrasná lišta S18 s lepidlom 3m strieborná</v>
      </c>
      <c r="C211" s="185">
        <f t="shared" si="7"/>
        <v>11.501989999999999</v>
      </c>
      <c r="D211" s="409" t="s">
        <v>3304</v>
      </c>
      <c r="E211" s="409" t="s">
        <v>4047</v>
      </c>
      <c r="F211" s="409" t="s">
        <v>4048</v>
      </c>
      <c r="G211" s="409" t="s">
        <v>4049</v>
      </c>
      <c r="H211" s="465">
        <v>319.89659999999998</v>
      </c>
      <c r="I211" s="465">
        <v>11.501989999999999</v>
      </c>
      <c r="J211" s="465">
        <v>39.552430000000001</v>
      </c>
      <c r="K211" s="465">
        <v>4584.2690199999997</v>
      </c>
      <c r="L211" s="464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spodné vedenie 2,4m surová</v>
      </c>
      <c r="C212" s="185">
        <f t="shared" si="7"/>
        <v>9.99268</v>
      </c>
      <c r="D212" s="409" t="s">
        <v>2947</v>
      </c>
      <c r="E212" s="409" t="s">
        <v>4050</v>
      </c>
      <c r="F212" s="409" t="s">
        <v>4051</v>
      </c>
      <c r="G212" s="409" t="s">
        <v>4052</v>
      </c>
      <c r="H212" s="465">
        <v>277.91921000000002</v>
      </c>
      <c r="I212" s="465">
        <v>9.99268</v>
      </c>
      <c r="J212" s="465">
        <v>34.362279999999998</v>
      </c>
      <c r="K212" s="465">
        <v>3982.71326</v>
      </c>
      <c r="L212" s="464" t="s">
        <v>539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SPOJOVACia LIŠTA H04/18 3M OLIVA</v>
      </c>
      <c r="C213" s="185">
        <f t="shared" si="7"/>
        <v>10.38302</v>
      </c>
      <c r="D213" s="409" t="s">
        <v>4053</v>
      </c>
      <c r="E213" s="409" t="s">
        <v>4054</v>
      </c>
      <c r="F213" s="409" t="s">
        <v>4055</v>
      </c>
      <c r="G213" s="409" t="s">
        <v>4056</v>
      </c>
      <c r="H213" s="465">
        <v>288.77544999999998</v>
      </c>
      <c r="I213" s="465">
        <v>10.38302</v>
      </c>
      <c r="J213" s="465">
        <v>35.704569999999997</v>
      </c>
      <c r="K213" s="465">
        <v>4138.2881900000002</v>
      </c>
      <c r="L213" s="464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str">
        <f t="shared" si="6"/>
        <v>SEVROLL 03751 spodná krycia lišta Simple/Blue 1,5m (pre lamino 10mm) oliva</v>
      </c>
      <c r="C214" s="185" t="e">
        <f t="shared" si="7"/>
        <v>#N/A</v>
      </c>
      <c r="D214" s="409" t="s">
        <v>3121</v>
      </c>
      <c r="E214" s="409" t="s">
        <v>4057</v>
      </c>
      <c r="F214" s="409" t="s">
        <v>4058</v>
      </c>
      <c r="G214" s="409" t="s">
        <v>4059</v>
      </c>
      <c r="H214" s="465" t="e">
        <v>#N/A</v>
      </c>
      <c r="I214" s="465" t="e">
        <v>#N/A</v>
      </c>
      <c r="J214" s="465" t="e">
        <v>#N/A</v>
      </c>
      <c r="K214" s="465" t="e">
        <v>#N/A</v>
      </c>
      <c r="L214" s="464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záslepka profilu (4 ks) biela lesk</v>
      </c>
      <c r="C215" s="185">
        <f t="shared" si="7"/>
        <v>9.0558599999999991</v>
      </c>
      <c r="D215" s="409" t="s">
        <v>3251</v>
      </c>
      <c r="E215" s="409" t="s">
        <v>4060</v>
      </c>
      <c r="F215" s="409" t="s">
        <v>4061</v>
      </c>
      <c r="G215" s="409" t="s">
        <v>4062</v>
      </c>
      <c r="H215" s="465">
        <v>267.26607999999999</v>
      </c>
      <c r="I215" s="465">
        <v>9.0558599999999991</v>
      </c>
      <c r="J215" s="465">
        <v>34.68</v>
      </c>
      <c r="K215" s="465">
        <v>3711.62293</v>
      </c>
      <c r="L215" s="464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SP.VOZÍK WD10 V DUO 60 KG</v>
      </c>
      <c r="C216" s="185">
        <f t="shared" si="7"/>
        <v>0</v>
      </c>
      <c r="D216" s="409" t="s">
        <v>2838</v>
      </c>
      <c r="E216" s="409" t="s">
        <v>4063</v>
      </c>
      <c r="F216" s="409" t="s">
        <v>4064</v>
      </c>
      <c r="G216" s="409" t="s">
        <v>4065</v>
      </c>
      <c r="H216" s="465">
        <v>0</v>
      </c>
      <c r="I216" s="465">
        <v>0</v>
      </c>
      <c r="J216" s="465">
        <v>0</v>
      </c>
      <c r="K216" s="465">
        <v>0</v>
      </c>
      <c r="L216" s="464" t="s">
        <v>540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16 II úchytová lišta 2,7m oliva</v>
      </c>
      <c r="C217" s="185">
        <f t="shared" si="7"/>
        <v>12.777100000000001</v>
      </c>
      <c r="D217" s="409" t="s">
        <v>2863</v>
      </c>
      <c r="E217" s="409" t="s">
        <v>4066</v>
      </c>
      <c r="F217" s="409" t="s">
        <v>2863</v>
      </c>
      <c r="G217" s="409" t="s">
        <v>4067</v>
      </c>
      <c r="H217" s="465">
        <v>355.36025999999998</v>
      </c>
      <c r="I217" s="465">
        <v>12.777100000000001</v>
      </c>
      <c r="J217" s="465">
        <v>79.866</v>
      </c>
      <c r="K217" s="465">
        <v>5092.4798700000001</v>
      </c>
      <c r="L217" s="464" t="s">
        <v>539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str">
        <f t="shared" si="6"/>
        <v>SEVROLL Factor 18 II-úchytová lišta zlatá 2,</v>
      </c>
      <c r="C218" s="185" t="e">
        <f t="shared" si="7"/>
        <v>#N/A</v>
      </c>
      <c r="D218" s="409" t="s">
        <v>2862</v>
      </c>
      <c r="E218" s="409" t="s">
        <v>4068</v>
      </c>
      <c r="F218" s="409" t="s">
        <v>1060</v>
      </c>
      <c r="G218" s="409" t="s">
        <v>4069</v>
      </c>
      <c r="H218" s="465" t="e">
        <v>#N/A</v>
      </c>
      <c r="I218" s="465" t="e">
        <v>#N/A</v>
      </c>
      <c r="J218" s="465" t="e">
        <v>#N/A</v>
      </c>
      <c r="K218" s="465" t="e">
        <v>#N/A</v>
      </c>
      <c r="L218" s="464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Simple horné vedenie 1,5m strieborná</v>
      </c>
      <c r="C219" s="185">
        <f t="shared" si="7"/>
        <v>12.359640000000001</v>
      </c>
      <c r="D219" s="409" t="s">
        <v>3082</v>
      </c>
      <c r="E219" s="409" t="s">
        <v>4070</v>
      </c>
      <c r="F219" s="409" t="s">
        <v>1051</v>
      </c>
      <c r="G219" s="409" t="s">
        <v>4071</v>
      </c>
      <c r="H219" s="465">
        <v>278.66025000000002</v>
      </c>
      <c r="I219" s="465">
        <v>12.359640000000001</v>
      </c>
      <c r="J219" s="465">
        <v>41.814579999999999</v>
      </c>
      <c r="K219" s="465">
        <v>4753.7065499999999</v>
      </c>
      <c r="L219" s="464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spodné vedenie  1,7m oliva</v>
      </c>
      <c r="C220" s="185">
        <f t="shared" si="7"/>
        <v>10.69529</v>
      </c>
      <c r="D220" s="409" t="s">
        <v>3307</v>
      </c>
      <c r="E220" s="409" t="s">
        <v>4072</v>
      </c>
      <c r="F220" s="409" t="s">
        <v>4073</v>
      </c>
      <c r="G220" s="409" t="s">
        <v>4074</v>
      </c>
      <c r="H220" s="465">
        <v>297.46042</v>
      </c>
      <c r="I220" s="465">
        <v>10.69529</v>
      </c>
      <c r="J220" s="465">
        <v>36.778399999999998</v>
      </c>
      <c r="K220" s="465">
        <v>4262.74791</v>
      </c>
      <c r="L220" s="464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maska Elegant II 4,05m čierna  kartáčovaná</v>
      </c>
      <c r="C221" s="185">
        <f t="shared" si="7"/>
        <v>11.033580000000001</v>
      </c>
      <c r="D221" s="409" t="s">
        <v>3369</v>
      </c>
      <c r="E221" s="409" t="s">
        <v>4075</v>
      </c>
      <c r="F221" s="409" t="s">
        <v>4076</v>
      </c>
      <c r="G221" s="409" t="s">
        <v>4077</v>
      </c>
      <c r="H221" s="465">
        <v>306.86912999999998</v>
      </c>
      <c r="I221" s="465">
        <v>11.033580000000001</v>
      </c>
      <c r="J221" s="465">
        <v>37.941690000000001</v>
      </c>
      <c r="K221" s="465">
        <v>4397.5792300000003</v>
      </c>
      <c r="L221" s="464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maska Elegant II 4,05m oliva kartáčovaná</v>
      </c>
      <c r="C222" s="185">
        <f t="shared" si="7"/>
        <v>11.033580000000001</v>
      </c>
      <c r="D222" s="409" t="s">
        <v>3367</v>
      </c>
      <c r="E222" s="409" t="s">
        <v>4078</v>
      </c>
      <c r="F222" s="409" t="s">
        <v>3367</v>
      </c>
      <c r="G222" s="409" t="s">
        <v>4079</v>
      </c>
      <c r="H222" s="465">
        <v>306.86912999999998</v>
      </c>
      <c r="I222" s="465">
        <v>11.033580000000001</v>
      </c>
      <c r="J222" s="465">
        <v>37.941690000000001</v>
      </c>
      <c r="K222" s="465">
        <v>4397.5792300000003</v>
      </c>
      <c r="L222" s="464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krycí profil Galaxy 2m</v>
      </c>
      <c r="C223" s="185">
        <f t="shared" si="7"/>
        <v>11.58006</v>
      </c>
      <c r="D223" s="409" t="s">
        <v>3242</v>
      </c>
      <c r="E223" s="409" t="s">
        <v>4080</v>
      </c>
      <c r="F223" s="409" t="s">
        <v>1233</v>
      </c>
      <c r="G223" s="409" t="s">
        <v>4081</v>
      </c>
      <c r="H223" s="465">
        <v>307.00713999999999</v>
      </c>
      <c r="I223" s="465">
        <v>11.58006</v>
      </c>
      <c r="J223" s="465">
        <v>39.507919999999999</v>
      </c>
      <c r="K223" s="465">
        <v>4484.5838599999997</v>
      </c>
      <c r="L223" s="464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nalepovacia úchytka biela lesk</v>
      </c>
      <c r="C224" s="185">
        <f t="shared" si="7"/>
        <v>8.0149600000000003</v>
      </c>
      <c r="D224" s="409" t="s">
        <v>3272</v>
      </c>
      <c r="E224" s="409" t="s">
        <v>4082</v>
      </c>
      <c r="F224" s="409" t="s">
        <v>4083</v>
      </c>
      <c r="G224" s="409" t="s">
        <v>4084</v>
      </c>
      <c r="H224" s="465">
        <v>222.91437999999999</v>
      </c>
      <c r="I224" s="465">
        <v>8.0149600000000003</v>
      </c>
      <c r="J224" s="465">
        <v>31.518000000000001</v>
      </c>
      <c r="K224" s="465">
        <v>3194.4681399999999</v>
      </c>
      <c r="L224" s="464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9" t="e">
        <v>#N/A</v>
      </c>
      <c r="E225" s="409" t="e">
        <v>#N/A</v>
      </c>
      <c r="F225" s="409" t="e">
        <v>#N/A</v>
      </c>
      <c r="G225" s="409" t="e">
        <v>#N/A</v>
      </c>
      <c r="H225" s="465" t="e">
        <v>#N/A</v>
      </c>
      <c r="I225" s="465" t="e">
        <v>#N/A</v>
      </c>
      <c r="J225" s="465" t="e">
        <v>#N/A</v>
      </c>
      <c r="K225" s="465" t="e">
        <v>#N/A</v>
      </c>
      <c r="L225" s="464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spodné vedenie 2,5m oliva</v>
      </c>
      <c r="C226" s="185">
        <f t="shared" si="7"/>
        <v>12.594939999999999</v>
      </c>
      <c r="D226" s="409" t="s">
        <v>3403</v>
      </c>
      <c r="E226" s="409" t="s">
        <v>4085</v>
      </c>
      <c r="F226" s="409" t="s">
        <v>4086</v>
      </c>
      <c r="G226" s="409" t="s">
        <v>4087</v>
      </c>
      <c r="H226" s="465">
        <v>346.51386000000002</v>
      </c>
      <c r="I226" s="465">
        <v>12.594939999999999</v>
      </c>
      <c r="J226" s="465">
        <v>46.504049999999999</v>
      </c>
      <c r="K226" s="465">
        <v>5121.4951899999996</v>
      </c>
      <c r="L226" s="464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str">
        <f t="shared" si="6"/>
        <v>SEVROLL Polo úchytová lišta 10mm 2,5m strie</v>
      </c>
      <c r="C227" s="185" t="e">
        <f t="shared" si="7"/>
        <v>#N/A</v>
      </c>
      <c r="D227" s="409" t="s">
        <v>3317</v>
      </c>
      <c r="E227" s="409" t="s">
        <v>4088</v>
      </c>
      <c r="F227" s="409" t="s">
        <v>1116</v>
      </c>
      <c r="G227" s="409" t="s">
        <v>4089</v>
      </c>
      <c r="H227" s="465" t="e">
        <v>#N/A</v>
      </c>
      <c r="I227" s="465" t="e">
        <v>#N/A</v>
      </c>
      <c r="J227" s="465" t="e">
        <v>#N/A</v>
      </c>
      <c r="K227" s="465" t="e">
        <v>#N/A</v>
      </c>
      <c r="L227" s="464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9" t="e">
        <v>#N/A</v>
      </c>
      <c r="E228" s="409" t="e">
        <v>#N/A</v>
      </c>
      <c r="F228" s="409" t="e">
        <v>#N/A</v>
      </c>
      <c r="G228" s="409" t="e">
        <v>#N/A</v>
      </c>
      <c r="H228" s="465" t="e">
        <v>#N/A</v>
      </c>
      <c r="I228" s="465" t="e">
        <v>#N/A</v>
      </c>
      <c r="J228" s="465" t="e">
        <v>#N/A</v>
      </c>
      <c r="K228" s="465" t="e">
        <v>#N/A</v>
      </c>
      <c r="L228" s="464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str">
        <f t="shared" si="6"/>
        <v>SEVROLL Simple spodné vedenie 2,5m oliva</v>
      </c>
      <c r="C229" s="185" t="e">
        <f t="shared" si="7"/>
        <v>#N/A</v>
      </c>
      <c r="D229" s="409" t="s">
        <v>3099</v>
      </c>
      <c r="E229" s="409" t="s">
        <v>4090</v>
      </c>
      <c r="F229" s="409" t="s">
        <v>4091</v>
      </c>
      <c r="G229" s="409" t="s">
        <v>4092</v>
      </c>
      <c r="H229" s="465" t="e">
        <v>#N/A</v>
      </c>
      <c r="I229" s="465" t="e">
        <v>#N/A</v>
      </c>
      <c r="J229" s="465" t="e">
        <v>#N/A</v>
      </c>
      <c r="K229" s="465" t="e">
        <v>#N/A</v>
      </c>
      <c r="L229" s="464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spojovaciá lišta "T" 3m strieborná</v>
      </c>
      <c r="C230" s="185">
        <f t="shared" si="7"/>
        <v>9.6543799999999997</v>
      </c>
      <c r="D230" s="409" t="s">
        <v>2656</v>
      </c>
      <c r="E230" s="409" t="s">
        <v>4093</v>
      </c>
      <c r="F230" s="409" t="s">
        <v>1209</v>
      </c>
      <c r="G230" s="409" t="s">
        <v>4094</v>
      </c>
      <c r="H230" s="465">
        <v>268.51049999999998</v>
      </c>
      <c r="I230" s="465">
        <v>9.6543799999999997</v>
      </c>
      <c r="J230" s="465">
        <v>33.609000000000002</v>
      </c>
      <c r="K230" s="465">
        <v>3847.8819400000002</v>
      </c>
      <c r="L230" s="464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04548 Factor 18 II úchytová lišta 2,7m oliva</v>
      </c>
      <c r="C231" s="185">
        <f t="shared" si="7"/>
        <v>12.646979999999999</v>
      </c>
      <c r="D231" s="409" t="s">
        <v>2861</v>
      </c>
      <c r="E231" s="409" t="s">
        <v>4095</v>
      </c>
      <c r="F231" s="409" t="s">
        <v>2861</v>
      </c>
      <c r="G231" s="409" t="s">
        <v>4096</v>
      </c>
      <c r="H231" s="465">
        <v>351.74153000000001</v>
      </c>
      <c r="I231" s="465">
        <v>12.646979999999999</v>
      </c>
      <c r="J231" s="465">
        <v>43.48977</v>
      </c>
      <c r="K231" s="465">
        <v>5040.6218200000003</v>
      </c>
      <c r="L231" s="464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Simple spodné vedenie 3m strieborná</v>
      </c>
      <c r="C232" s="185">
        <f t="shared" si="7"/>
        <v>11.21574</v>
      </c>
      <c r="D232" s="409" t="s">
        <v>3090</v>
      </c>
      <c r="E232" s="409" t="s">
        <v>4097</v>
      </c>
      <c r="F232" s="409" t="s">
        <v>4098</v>
      </c>
      <c r="G232" s="409" t="s">
        <v>4099</v>
      </c>
      <c r="H232" s="465">
        <v>308.56916999999999</v>
      </c>
      <c r="I232" s="465">
        <v>11.21574</v>
      </c>
      <c r="J232" s="465">
        <v>41.375390000000003</v>
      </c>
      <c r="K232" s="465">
        <v>4560.6704</v>
      </c>
      <c r="L232" s="464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str">
        <f t="shared" si="6"/>
        <v>SEVROLL 02815 MAXIM II MASKA 3,5 M strieborná</v>
      </c>
      <c r="C233" s="185" t="e">
        <f t="shared" si="7"/>
        <v>#N/A</v>
      </c>
      <c r="D233" s="409" t="s">
        <v>2913</v>
      </c>
      <c r="E233" s="409" t="s">
        <v>4100</v>
      </c>
      <c r="F233" s="409" t="s">
        <v>4101</v>
      </c>
      <c r="G233" s="409" t="s">
        <v>4102</v>
      </c>
      <c r="H233" s="465" t="e">
        <v>#N/A</v>
      </c>
      <c r="I233" s="465" t="e">
        <v>#N/A</v>
      </c>
      <c r="J233" s="465" t="e">
        <v>#N/A</v>
      </c>
      <c r="K233" s="465" t="e">
        <v>#N/A</v>
      </c>
      <c r="L233" s="464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uhol. vedenie strieb.</v>
      </c>
      <c r="C234" s="185">
        <f t="shared" si="7"/>
        <v>9.73245</v>
      </c>
      <c r="D234" s="409" t="s">
        <v>3199</v>
      </c>
      <c r="E234" s="409" t="s">
        <v>4103</v>
      </c>
      <c r="F234" s="409" t="s">
        <v>4104</v>
      </c>
      <c r="G234" s="409" t="s">
        <v>4105</v>
      </c>
      <c r="H234" s="465">
        <v>270.68173000000002</v>
      </c>
      <c r="I234" s="465">
        <v>9.73245</v>
      </c>
      <c r="J234" s="465">
        <v>35.812199999999997</v>
      </c>
      <c r="K234" s="465">
        <v>3878.9967499999998</v>
      </c>
      <c r="L234" s="464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uholník 22x22mm 3m stieborná</v>
      </c>
      <c r="C235" s="185">
        <f t="shared" si="7"/>
        <v>10.2529</v>
      </c>
      <c r="D235" s="409" t="s">
        <v>3208</v>
      </c>
      <c r="E235" s="409" t="s">
        <v>4106</v>
      </c>
      <c r="F235" s="409" t="s">
        <v>4107</v>
      </c>
      <c r="G235" s="409" t="s">
        <v>4108</v>
      </c>
      <c r="H235" s="465">
        <v>285.15669000000003</v>
      </c>
      <c r="I235" s="465">
        <v>10.2529</v>
      </c>
      <c r="J235" s="465">
        <v>37.790999999999997</v>
      </c>
      <c r="K235" s="465">
        <v>4086.4297499999998</v>
      </c>
      <c r="L235" s="464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Uno úchytová lišta 18mm 2,70m stieborná</v>
      </c>
      <c r="C236" s="185">
        <f t="shared" si="7"/>
        <v>11.91835</v>
      </c>
      <c r="D236" s="409" t="s">
        <v>3259</v>
      </c>
      <c r="E236" s="409" t="s">
        <v>4109</v>
      </c>
      <c r="F236" s="409" t="s">
        <v>4110</v>
      </c>
      <c r="G236" s="409" t="s">
        <v>4111</v>
      </c>
      <c r="H236" s="465">
        <v>327.89949999999999</v>
      </c>
      <c r="I236" s="465">
        <v>11.91835</v>
      </c>
      <c r="J236" s="465">
        <v>40.982089999999999</v>
      </c>
      <c r="K236" s="465">
        <v>4846.3737600000004</v>
      </c>
      <c r="L236" s="464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9" t="e">
        <v>#N/A</v>
      </c>
      <c r="E237" s="409" t="e">
        <v>#N/A</v>
      </c>
      <c r="F237" s="409" t="e">
        <v>#N/A</v>
      </c>
      <c r="G237" s="409" t="e">
        <v>#N/A</v>
      </c>
      <c r="H237" s="465" t="e">
        <v>#N/A</v>
      </c>
      <c r="I237" s="465" t="e">
        <v>#N/A</v>
      </c>
      <c r="J237" s="465" t="e">
        <v>#N/A</v>
      </c>
      <c r="K237" s="465" t="e">
        <v>#N/A</v>
      </c>
      <c r="L237" s="464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9" t="e">
        <v>#N/A</v>
      </c>
      <c r="E238" s="409" t="e">
        <v>#N/A</v>
      </c>
      <c r="F238" s="409" t="e">
        <v>#N/A</v>
      </c>
      <c r="G238" s="409" t="e">
        <v>#N/A</v>
      </c>
      <c r="H238" s="465" t="e">
        <v>#N/A</v>
      </c>
      <c r="I238" s="465" t="e">
        <v>#N/A</v>
      </c>
      <c r="J238" s="465" t="e">
        <v>#N/A</v>
      </c>
      <c r="K238" s="465" t="e">
        <v>#N/A</v>
      </c>
      <c r="L238" s="464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9" t="e">
        <v>#N/A</v>
      </c>
      <c r="E239" s="409" t="e">
        <v>#N/A</v>
      </c>
      <c r="F239" s="409" t="e">
        <v>#N/A</v>
      </c>
      <c r="G239" s="409" t="e">
        <v>#N/A</v>
      </c>
      <c r="H239" s="465" t="e">
        <v>#N/A</v>
      </c>
      <c r="I239" s="465" t="e">
        <v>#N/A</v>
      </c>
      <c r="J239" s="465" t="e">
        <v>#N/A</v>
      </c>
      <c r="K239" s="465" t="e">
        <v>#N/A</v>
      </c>
      <c r="L239" s="464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9" t="e">
        <v>#N/A</v>
      </c>
      <c r="E240" s="409" t="e">
        <v>#N/A</v>
      </c>
      <c r="F240" s="409" t="e">
        <v>#N/A</v>
      </c>
      <c r="G240" s="409" t="e">
        <v>#N/A</v>
      </c>
      <c r="H240" s="465" t="e">
        <v>#N/A</v>
      </c>
      <c r="I240" s="465" t="e">
        <v>#N/A</v>
      </c>
      <c r="J240" s="465" t="e">
        <v>#N/A</v>
      </c>
      <c r="K240" s="465" t="e">
        <v>#N/A</v>
      </c>
      <c r="L240" s="464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9" t="e">
        <v>#N/A</v>
      </c>
      <c r="E241" s="409" t="e">
        <v>#N/A</v>
      </c>
      <c r="F241" s="409" t="e">
        <v>#N/A</v>
      </c>
      <c r="G241" s="409" t="e">
        <v>#N/A</v>
      </c>
      <c r="H241" s="465" t="e">
        <v>#N/A</v>
      </c>
      <c r="I241" s="465" t="e">
        <v>#N/A</v>
      </c>
      <c r="J241" s="465" t="e">
        <v>#N/A</v>
      </c>
      <c r="K241" s="465" t="e">
        <v>#N/A</v>
      </c>
      <c r="L241" s="464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9" t="e">
        <v>#N/A</v>
      </c>
      <c r="E242" s="409" t="e">
        <v>#N/A</v>
      </c>
      <c r="F242" s="409" t="e">
        <v>#N/A</v>
      </c>
      <c r="G242" s="409" t="e">
        <v>#N/A</v>
      </c>
      <c r="H242" s="465" t="e">
        <v>#N/A</v>
      </c>
      <c r="I242" s="465" t="e">
        <v>#N/A</v>
      </c>
      <c r="J242" s="465" t="e">
        <v>#N/A</v>
      </c>
      <c r="K242" s="465" t="e">
        <v>#N/A</v>
      </c>
      <c r="L242" s="464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9" t="e">
        <v>#N/A</v>
      </c>
      <c r="E243" s="409" t="e">
        <v>#N/A</v>
      </c>
      <c r="F243" s="409" t="e">
        <v>#N/A</v>
      </c>
      <c r="G243" s="409" t="e">
        <v>#N/A</v>
      </c>
      <c r="H243" s="465" t="e">
        <v>#N/A</v>
      </c>
      <c r="I243" s="465" t="e">
        <v>#N/A</v>
      </c>
      <c r="J243" s="465" t="e">
        <v>#N/A</v>
      </c>
      <c r="K243" s="465" t="e">
        <v>#N/A</v>
      </c>
      <c r="L243" s="464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9" t="e">
        <v>#N/A</v>
      </c>
      <c r="E244" s="409" t="e">
        <v>#N/A</v>
      </c>
      <c r="F244" s="409" t="e">
        <v>#N/A</v>
      </c>
      <c r="G244" s="409" t="e">
        <v>#N/A</v>
      </c>
      <c r="H244" s="465" t="e">
        <v>#N/A</v>
      </c>
      <c r="I244" s="465" t="e">
        <v>#N/A</v>
      </c>
      <c r="J244" s="465" t="e">
        <v>#N/A</v>
      </c>
      <c r="K244" s="465" t="e">
        <v>#N/A</v>
      </c>
      <c r="L244" s="464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9" t="e">
        <v>#N/A</v>
      </c>
      <c r="E245" s="409" t="e">
        <v>#N/A</v>
      </c>
      <c r="F245" s="409" t="e">
        <v>#N/A</v>
      </c>
      <c r="G245" s="409" t="e">
        <v>#N/A</v>
      </c>
      <c r="H245" s="465" t="e">
        <v>#N/A</v>
      </c>
      <c r="I245" s="465" t="e">
        <v>#N/A</v>
      </c>
      <c r="J245" s="465" t="e">
        <v>#N/A</v>
      </c>
      <c r="K245" s="465" t="e">
        <v>#N/A</v>
      </c>
      <c r="L245" s="464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9" t="e">
        <v>#N/A</v>
      </c>
      <c r="E246" s="409" t="e">
        <v>#N/A</v>
      </c>
      <c r="F246" s="409" t="e">
        <v>#N/A</v>
      </c>
      <c r="G246" s="409" t="e">
        <v>#N/A</v>
      </c>
      <c r="H246" s="465" t="e">
        <v>#N/A</v>
      </c>
      <c r="I246" s="465" t="e">
        <v>#N/A</v>
      </c>
      <c r="J246" s="465" t="e">
        <v>#N/A</v>
      </c>
      <c r="K246" s="465" t="e">
        <v>#N/A</v>
      </c>
      <c r="L246" s="464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9" t="e">
        <v>#N/A</v>
      </c>
      <c r="E247" s="409" t="e">
        <v>#N/A</v>
      </c>
      <c r="F247" s="409" t="e">
        <v>#N/A</v>
      </c>
      <c r="G247" s="409" t="e">
        <v>#N/A</v>
      </c>
      <c r="H247" s="465" t="e">
        <v>#N/A</v>
      </c>
      <c r="I247" s="465" t="e">
        <v>#N/A</v>
      </c>
      <c r="J247" s="465" t="e">
        <v>#N/A</v>
      </c>
      <c r="K247" s="465" t="e">
        <v>#N/A</v>
      </c>
      <c r="L247" s="464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9" t="e">
        <v>#N/A</v>
      </c>
      <c r="E248" s="409" t="e">
        <v>#N/A</v>
      </c>
      <c r="F248" s="409" t="e">
        <v>#N/A</v>
      </c>
      <c r="G248" s="409" t="e">
        <v>#N/A</v>
      </c>
      <c r="H248" s="465" t="e">
        <v>#N/A</v>
      </c>
      <c r="I248" s="465" t="e">
        <v>#N/A</v>
      </c>
      <c r="J248" s="465" t="e">
        <v>#N/A</v>
      </c>
      <c r="K248" s="465" t="e">
        <v>#N/A</v>
      </c>
      <c r="L248" s="464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9" t="e">
        <v>#N/A</v>
      </c>
      <c r="E249" s="409" t="e">
        <v>#N/A</v>
      </c>
      <c r="F249" s="409" t="e">
        <v>#N/A</v>
      </c>
      <c r="G249" s="409" t="e">
        <v>#N/A</v>
      </c>
      <c r="H249" s="465" t="e">
        <v>#N/A</v>
      </c>
      <c r="I249" s="465" t="e">
        <v>#N/A</v>
      </c>
      <c r="J249" s="465" t="e">
        <v>#N/A</v>
      </c>
      <c r="K249" s="465" t="e">
        <v>#N/A</v>
      </c>
      <c r="L249" s="464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9" t="e">
        <v>#N/A</v>
      </c>
      <c r="E250" s="409" t="e">
        <v>#N/A</v>
      </c>
      <c r="F250" s="409" t="e">
        <v>#N/A</v>
      </c>
      <c r="G250" s="409" t="e">
        <v>#N/A</v>
      </c>
      <c r="H250" s="465" t="e">
        <v>#N/A</v>
      </c>
      <c r="I250" s="465" t="e">
        <v>#N/A</v>
      </c>
      <c r="J250" s="465" t="e">
        <v>#N/A</v>
      </c>
      <c r="K250" s="465" t="e">
        <v>#N/A</v>
      </c>
      <c r="L250" s="464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9" t="e">
        <v>#N/A</v>
      </c>
      <c r="E251" s="409" t="e">
        <v>#N/A</v>
      </c>
      <c r="F251" s="409" t="e">
        <v>#N/A</v>
      </c>
      <c r="G251" s="409" t="e">
        <v>#N/A</v>
      </c>
      <c r="H251" s="465" t="e">
        <v>#N/A</v>
      </c>
      <c r="I251" s="465" t="e">
        <v>#N/A</v>
      </c>
      <c r="J251" s="465" t="e">
        <v>#N/A</v>
      </c>
      <c r="K251" s="465" t="e">
        <v>#N/A</v>
      </c>
      <c r="L251" s="464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9" t="e">
        <v>#N/A</v>
      </c>
      <c r="E252" s="409" t="e">
        <v>#N/A</v>
      </c>
      <c r="F252" s="409" t="e">
        <v>#N/A</v>
      </c>
      <c r="G252" s="409" t="e">
        <v>#N/A</v>
      </c>
      <c r="H252" s="465" t="e">
        <v>#N/A</v>
      </c>
      <c r="I252" s="465" t="e">
        <v>#N/A</v>
      </c>
      <c r="J252" s="465" t="e">
        <v>#N/A</v>
      </c>
      <c r="K252" s="465" t="e">
        <v>#N/A</v>
      </c>
      <c r="L252" s="464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9" t="e">
        <v>#N/A</v>
      </c>
      <c r="E253" s="409" t="e">
        <v>#N/A</v>
      </c>
      <c r="F253" s="409" t="e">
        <v>#N/A</v>
      </c>
      <c r="G253" s="409" t="e">
        <v>#N/A</v>
      </c>
      <c r="H253" s="465" t="e">
        <v>#N/A</v>
      </c>
      <c r="I253" s="465" t="e">
        <v>#N/A</v>
      </c>
      <c r="J253" s="465" t="e">
        <v>#N/A</v>
      </c>
      <c r="K253" s="465" t="e">
        <v>#N/A</v>
      </c>
      <c r="L253" s="464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9" t="e">
        <v>#N/A</v>
      </c>
      <c r="E254" s="409" t="e">
        <v>#N/A</v>
      </c>
      <c r="F254" s="409" t="e">
        <v>#N/A</v>
      </c>
      <c r="G254" s="409" t="e">
        <v>#N/A</v>
      </c>
      <c r="H254" s="465" t="e">
        <v>#N/A</v>
      </c>
      <c r="I254" s="465" t="e">
        <v>#N/A</v>
      </c>
      <c r="J254" s="465" t="e">
        <v>#N/A</v>
      </c>
      <c r="K254" s="465" t="e">
        <v>#N/A</v>
      </c>
      <c r="L254" s="464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9" t="e">
        <v>#N/A</v>
      </c>
      <c r="E255" s="409" t="e">
        <v>#N/A</v>
      </c>
      <c r="F255" s="409" t="e">
        <v>#N/A</v>
      </c>
      <c r="G255" s="409" t="e">
        <v>#N/A</v>
      </c>
      <c r="H255" s="465" t="e">
        <v>#N/A</v>
      </c>
      <c r="I255" s="465" t="e">
        <v>#N/A</v>
      </c>
      <c r="J255" s="465" t="e">
        <v>#N/A</v>
      </c>
      <c r="K255" s="465" t="e">
        <v>#N/A</v>
      </c>
      <c r="L255" s="464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9" t="e">
        <v>#N/A</v>
      </c>
      <c r="E256" s="409" t="e">
        <v>#N/A</v>
      </c>
      <c r="F256" s="409" t="e">
        <v>#N/A</v>
      </c>
      <c r="G256" s="409" t="e">
        <v>#N/A</v>
      </c>
      <c r="H256" s="465" t="e">
        <v>#N/A</v>
      </c>
      <c r="I256" s="465" t="e">
        <v>#N/A</v>
      </c>
      <c r="J256" s="465" t="e">
        <v>#N/A</v>
      </c>
      <c r="K256" s="465" t="e">
        <v>#N/A</v>
      </c>
      <c r="L256" s="464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9" t="e">
        <v>#N/A</v>
      </c>
      <c r="E257" s="409" t="e">
        <v>#N/A</v>
      </c>
      <c r="F257" s="409" t="e">
        <v>#N/A</v>
      </c>
      <c r="G257" s="409" t="e">
        <v>#N/A</v>
      </c>
      <c r="H257" s="465" t="e">
        <v>#N/A</v>
      </c>
      <c r="I257" s="465" t="e">
        <v>#N/A</v>
      </c>
      <c r="J257" s="465" t="e">
        <v>#N/A</v>
      </c>
      <c r="K257" s="465" t="e">
        <v>#N/A</v>
      </c>
      <c r="L257" s="464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9" t="e">
        <v>#N/A</v>
      </c>
      <c r="E258" s="409" t="e">
        <v>#N/A</v>
      </c>
      <c r="F258" s="409" t="e">
        <v>#N/A</v>
      </c>
      <c r="G258" s="409" t="e">
        <v>#N/A</v>
      </c>
      <c r="H258" s="465" t="e">
        <v>#N/A</v>
      </c>
      <c r="I258" s="465" t="e">
        <v>#N/A</v>
      </c>
      <c r="J258" s="465" t="e">
        <v>#N/A</v>
      </c>
      <c r="K258" s="465" t="e">
        <v>#N/A</v>
      </c>
      <c r="L258" s="464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SPOJ.LIŠTA H18 2,5M str.</v>
      </c>
      <c r="C259" s="185">
        <f t="shared" si="7"/>
        <v>10.30363</v>
      </c>
      <c r="D259" s="409" t="s">
        <v>2809</v>
      </c>
      <c r="E259" s="409" t="s">
        <v>4112</v>
      </c>
      <c r="F259" s="409" t="s">
        <v>4113</v>
      </c>
      <c r="G259" s="409" t="s">
        <v>4114</v>
      </c>
      <c r="H259" s="465">
        <v>272.31103000000002</v>
      </c>
      <c r="I259" s="465">
        <v>10.30363</v>
      </c>
      <c r="J259" s="465">
        <v>36.509929999999997</v>
      </c>
      <c r="K259" s="465">
        <v>4046.7862500000001</v>
      </c>
      <c r="L259" s="464" t="s">
        <v>540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spojovaciá lišta "T" 3m oliva</v>
      </c>
      <c r="C260" s="185">
        <f t="shared" ref="C260:C323" si="9">IF($A$2=1,H260,IF($A$2=2,I260,IF($A$2=3,J260,IF($A$2=4,K260,IF($A$2&gt;4,O260,"zadat jazyk")))))</f>
        <v>11.86631</v>
      </c>
      <c r="D260" s="409" t="s">
        <v>2655</v>
      </c>
      <c r="E260" s="409" t="s">
        <v>4115</v>
      </c>
      <c r="F260" s="409" t="s">
        <v>1210</v>
      </c>
      <c r="G260" s="409" t="s">
        <v>4116</v>
      </c>
      <c r="H260" s="465">
        <v>330.02909</v>
      </c>
      <c r="I260" s="465">
        <v>11.86631</v>
      </c>
      <c r="J260" s="465">
        <v>40.805219999999998</v>
      </c>
      <c r="K260" s="465">
        <v>4729.4723400000003</v>
      </c>
      <c r="L260" s="464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01373 spojovacia lišta T Decor 3m oliva</v>
      </c>
      <c r="C261" s="185">
        <f t="shared" si="9"/>
        <v>11.65812</v>
      </c>
      <c r="D261" s="409" t="s">
        <v>2704</v>
      </c>
      <c r="E261" s="409" t="s">
        <v>4117</v>
      </c>
      <c r="F261" s="409" t="s">
        <v>4118</v>
      </c>
      <c r="G261" s="409" t="s">
        <v>2704</v>
      </c>
      <c r="H261" s="465">
        <v>324.23910000000001</v>
      </c>
      <c r="I261" s="465">
        <v>11.65812</v>
      </c>
      <c r="J261" s="465">
        <v>40.08934</v>
      </c>
      <c r="K261" s="465">
        <v>4646.4990600000001</v>
      </c>
      <c r="L261" s="464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okrasná lišta S18 s lepidlom 3m oliva</v>
      </c>
      <c r="C262" s="185">
        <f t="shared" si="9"/>
        <v>13.739929999999999</v>
      </c>
      <c r="D262" s="409" t="s">
        <v>3305</v>
      </c>
      <c r="E262" s="409" t="s">
        <v>4119</v>
      </c>
      <c r="F262" s="409" t="s">
        <v>4120</v>
      </c>
      <c r="G262" s="409" t="s">
        <v>2367</v>
      </c>
      <c r="H262" s="465">
        <v>382.13893999999999</v>
      </c>
      <c r="I262" s="465">
        <v>13.739929999999999</v>
      </c>
      <c r="J262" s="465">
        <v>47.248139999999999</v>
      </c>
      <c r="K262" s="465">
        <v>5476.2310200000002</v>
      </c>
      <c r="L262" s="464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profil "U" 18mm 3m oliva kartáčovaná</v>
      </c>
      <c r="C263" s="185">
        <f t="shared" si="9"/>
        <v>8.5614399999999993</v>
      </c>
      <c r="D263" s="409" t="s">
        <v>3041</v>
      </c>
      <c r="E263" s="409" t="s">
        <v>4121</v>
      </c>
      <c r="F263" s="409" t="s">
        <v>1112</v>
      </c>
      <c r="G263" s="409" t="s">
        <v>4122</v>
      </c>
      <c r="H263" s="465">
        <v>238.11309</v>
      </c>
      <c r="I263" s="465">
        <v>8.5614399999999993</v>
      </c>
      <c r="J263" s="465">
        <v>36.934199999999997</v>
      </c>
      <c r="K263" s="465">
        <v>3412.2727399999999</v>
      </c>
      <c r="L263" s="464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profil "U" 18mm 3m oliva tmavá kartáčovaná</v>
      </c>
      <c r="C264" s="185">
        <f t="shared" si="9"/>
        <v>8.5614399999999993</v>
      </c>
      <c r="D264" s="409" t="s">
        <v>3042</v>
      </c>
      <c r="E264" s="409" t="s">
        <v>4123</v>
      </c>
      <c r="F264" s="409" t="s">
        <v>1111</v>
      </c>
      <c r="G264" s="409" t="s">
        <v>4124</v>
      </c>
      <c r="H264" s="465">
        <v>238.11309</v>
      </c>
      <c r="I264" s="465">
        <v>8.5614399999999993</v>
      </c>
      <c r="J264" s="465">
        <v>36.934199999999997</v>
      </c>
      <c r="K264" s="465">
        <v>3412.2727399999999</v>
      </c>
      <c r="L264" s="464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str">
        <f t="shared" si="8"/>
        <v>SEVROLL Simple horné vedenie 1,5m oliva</v>
      </c>
      <c r="C265" s="185" t="e">
        <f t="shared" si="9"/>
        <v>#N/A</v>
      </c>
      <c r="D265" s="409" t="s">
        <v>3092</v>
      </c>
      <c r="E265" s="409" t="s">
        <v>4125</v>
      </c>
      <c r="F265" s="409" t="s">
        <v>4126</v>
      </c>
      <c r="G265" s="409" t="s">
        <v>4127</v>
      </c>
      <c r="H265" s="465" t="e">
        <v>#N/A</v>
      </c>
      <c r="I265" s="465" t="e">
        <v>#N/A</v>
      </c>
      <c r="J265" s="465" t="e">
        <v>#N/A</v>
      </c>
      <c r="K265" s="465" t="e">
        <v>#N/A</v>
      </c>
      <c r="L265" s="464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9" t="e">
        <v>#N/A</v>
      </c>
      <c r="E266" s="409" t="e">
        <v>#N/A</v>
      </c>
      <c r="F266" s="409" t="e">
        <v>#N/A</v>
      </c>
      <c r="G266" s="409" t="e">
        <v>#N/A</v>
      </c>
      <c r="H266" s="465" t="e">
        <v>#N/A</v>
      </c>
      <c r="I266" s="465" t="e">
        <v>#N/A</v>
      </c>
      <c r="J266" s="465" t="e">
        <v>#N/A</v>
      </c>
      <c r="K266" s="465" t="e">
        <v>#N/A</v>
      </c>
      <c r="L266" s="464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9" t="e">
        <v>#N/A</v>
      </c>
      <c r="E267" s="409" t="e">
        <v>#N/A</v>
      </c>
      <c r="F267" s="409" t="e">
        <v>#N/A</v>
      </c>
      <c r="G267" s="409" t="e">
        <v>#N/A</v>
      </c>
      <c r="H267" s="465" t="e">
        <v>#N/A</v>
      </c>
      <c r="I267" s="465" t="e">
        <v>#N/A</v>
      </c>
      <c r="J267" s="465" t="e">
        <v>#N/A</v>
      </c>
      <c r="K267" s="465" t="e">
        <v>#N/A</v>
      </c>
      <c r="L267" s="464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profil "U" 18mm 3m čierna kartáčovaná</v>
      </c>
      <c r="C268" s="185">
        <f t="shared" si="9"/>
        <v>8.5614399999999993</v>
      </c>
      <c r="D268" s="409" t="s">
        <v>3043</v>
      </c>
      <c r="E268" s="409" t="s">
        <v>4128</v>
      </c>
      <c r="F268" s="409" t="s">
        <v>4129</v>
      </c>
      <c r="G268" s="409" t="s">
        <v>4130</v>
      </c>
      <c r="H268" s="465">
        <v>238.11309</v>
      </c>
      <c r="I268" s="465">
        <v>8.5614399999999993</v>
      </c>
      <c r="J268" s="465">
        <v>36.934199999999997</v>
      </c>
      <c r="K268" s="465">
        <v>3412.2727399999999</v>
      </c>
      <c r="L268" s="464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MASKA DOUBLER II 4,05 M striebor</v>
      </c>
      <c r="C269" s="185">
        <f t="shared" si="9"/>
        <v>11.13767</v>
      </c>
      <c r="D269" s="409" t="s">
        <v>2882</v>
      </c>
      <c r="E269" s="409" t="s">
        <v>4131</v>
      </c>
      <c r="F269" s="409" t="s">
        <v>4132</v>
      </c>
      <c r="G269" s="409" t="s">
        <v>4133</v>
      </c>
      <c r="H269" s="465">
        <v>309.76414</v>
      </c>
      <c r="I269" s="465">
        <v>11.13767</v>
      </c>
      <c r="J269" s="465">
        <v>38.943600000000004</v>
      </c>
      <c r="K269" s="465">
        <v>4439.0660699999999</v>
      </c>
      <c r="L269" s="464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horné vedenie 1,5m strieborná</v>
      </c>
      <c r="C270" s="185">
        <f t="shared" si="9"/>
        <v>11.31983</v>
      </c>
      <c r="D270" s="409" t="s">
        <v>3390</v>
      </c>
      <c r="E270" s="409" t="s">
        <v>4134</v>
      </c>
      <c r="F270" s="409" t="s">
        <v>4135</v>
      </c>
      <c r="G270" s="409" t="s">
        <v>4136</v>
      </c>
      <c r="H270" s="465">
        <v>311.43293999999997</v>
      </c>
      <c r="I270" s="465">
        <v>11.31983</v>
      </c>
      <c r="J270" s="465">
        <v>40.289879999999997</v>
      </c>
      <c r="K270" s="465">
        <v>4602.9970499999999</v>
      </c>
      <c r="L270" s="464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Polo úch.lišta 10mm 2,70m strieborná</v>
      </c>
      <c r="C271" s="185">
        <f t="shared" si="9"/>
        <v>13.037319999999999</v>
      </c>
      <c r="D271" s="409" t="s">
        <v>3009</v>
      </c>
      <c r="E271" s="409" t="s">
        <v>4137</v>
      </c>
      <c r="F271" s="409" t="s">
        <v>1216</v>
      </c>
      <c r="G271" s="409" t="s">
        <v>4138</v>
      </c>
      <c r="H271" s="465">
        <v>358.68481000000003</v>
      </c>
      <c r="I271" s="465">
        <v>13.037319999999999</v>
      </c>
      <c r="J271" s="465">
        <v>45.41854</v>
      </c>
      <c r="K271" s="465">
        <v>5301.3825399999996</v>
      </c>
      <c r="L271" s="464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str">
        <f t="shared" si="8"/>
        <v>SEVROLL Simple spodné vedenie 3m oliva</v>
      </c>
      <c r="C272" s="185" t="e">
        <f t="shared" si="9"/>
        <v>#N/A</v>
      </c>
      <c r="D272" s="409" t="s">
        <v>3100</v>
      </c>
      <c r="E272" s="409" t="s">
        <v>4139</v>
      </c>
      <c r="F272" s="409" t="s">
        <v>4140</v>
      </c>
      <c r="G272" s="409" t="s">
        <v>4141</v>
      </c>
      <c r="H272" s="465" t="e">
        <v>#N/A</v>
      </c>
      <c r="I272" s="465" t="e">
        <v>#N/A</v>
      </c>
      <c r="J272" s="465" t="e">
        <v>#N/A</v>
      </c>
      <c r="K272" s="465" t="e">
        <v>#N/A</v>
      </c>
      <c r="L272" s="464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spodné vedenie 1,7m biela lesk</v>
      </c>
      <c r="C273" s="185">
        <f t="shared" si="9"/>
        <v>10.51313</v>
      </c>
      <c r="D273" s="409" t="s">
        <v>3430</v>
      </c>
      <c r="E273" s="409" t="s">
        <v>4142</v>
      </c>
      <c r="F273" s="409" t="s">
        <v>4143</v>
      </c>
      <c r="G273" s="409" t="s">
        <v>4144</v>
      </c>
      <c r="H273" s="465">
        <v>292.39416999999997</v>
      </c>
      <c r="I273" s="465">
        <v>10.51313</v>
      </c>
      <c r="J273" s="465">
        <v>41.921999999999997</v>
      </c>
      <c r="K273" s="465">
        <v>4190.14624</v>
      </c>
      <c r="L273" s="464" t="s">
        <v>539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str">
        <f t="shared" si="8"/>
        <v>SEVROLL 02805 Maxim II spodné vedenie 1,8m strieborná</v>
      </c>
      <c r="C274" s="185" t="e">
        <f t="shared" si="9"/>
        <v>#N/A</v>
      </c>
      <c r="D274" s="409" t="s">
        <v>2914</v>
      </c>
      <c r="E274" s="409" t="s">
        <v>4145</v>
      </c>
      <c r="F274" s="409" t="s">
        <v>4146</v>
      </c>
      <c r="G274" s="409" t="s">
        <v>4147</v>
      </c>
      <c r="H274" s="465" t="e">
        <v>#N/A</v>
      </c>
      <c r="I274" s="465" t="e">
        <v>#N/A</v>
      </c>
      <c r="J274" s="465" t="e">
        <v>#N/A</v>
      </c>
      <c r="K274" s="465" t="e">
        <v>#N/A</v>
      </c>
      <c r="L274" s="464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spodné vedenie  3m strieborná</v>
      </c>
      <c r="C275" s="185">
        <f t="shared" si="9"/>
        <v>12.10051</v>
      </c>
      <c r="D275" s="409" t="s">
        <v>3406</v>
      </c>
      <c r="E275" s="409" t="s">
        <v>4148</v>
      </c>
      <c r="F275" s="409" t="s">
        <v>4149</v>
      </c>
      <c r="G275" s="409" t="s">
        <v>4150</v>
      </c>
      <c r="H275" s="465">
        <v>332.91107</v>
      </c>
      <c r="I275" s="465">
        <v>12.10051</v>
      </c>
      <c r="J275" s="465">
        <v>49.288629999999998</v>
      </c>
      <c r="K275" s="465">
        <v>4920.4450999999999</v>
      </c>
      <c r="L275" s="464" t="s">
        <v>695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spodné vedenie  2,35m strieborná</v>
      </c>
      <c r="C276" s="185">
        <f t="shared" si="9"/>
        <v>11.194929999999999</v>
      </c>
      <c r="D276" s="409" t="s">
        <v>2768</v>
      </c>
      <c r="E276" s="409" t="s">
        <v>4151</v>
      </c>
      <c r="F276" s="409" t="s">
        <v>4152</v>
      </c>
      <c r="G276" s="409" t="s">
        <v>4153</v>
      </c>
      <c r="H276" s="465">
        <v>311.21163000000001</v>
      </c>
      <c r="I276" s="465">
        <v>11.194929999999999</v>
      </c>
      <c r="J276" s="465">
        <v>41.34393</v>
      </c>
      <c r="K276" s="465">
        <v>4459.8092999999999</v>
      </c>
      <c r="L276" s="464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spodné vedenie 4m strieborná</v>
      </c>
      <c r="C277" s="185">
        <f t="shared" si="9"/>
        <v>13.45368</v>
      </c>
      <c r="D277" s="409" t="s">
        <v>3420</v>
      </c>
      <c r="E277" s="409" t="s">
        <v>4154</v>
      </c>
      <c r="F277" s="409" t="s">
        <v>4155</v>
      </c>
      <c r="G277" s="409" t="s">
        <v>4156</v>
      </c>
      <c r="H277" s="465">
        <v>370.13983000000002</v>
      </c>
      <c r="I277" s="465">
        <v>13.45368</v>
      </c>
      <c r="J277" s="465">
        <v>54.590339999999998</v>
      </c>
      <c r="K277" s="465">
        <v>5470.6883399999997</v>
      </c>
      <c r="L277" s="464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Libra úchytová lišta 18mm 2,70m strieborná</v>
      </c>
      <c r="C278" s="185">
        <f t="shared" si="9"/>
        <v>12.777100000000001</v>
      </c>
      <c r="D278" s="409" t="s">
        <v>3007</v>
      </c>
      <c r="E278" s="409" t="s">
        <v>4157</v>
      </c>
      <c r="F278" s="409" t="s">
        <v>4158</v>
      </c>
      <c r="G278" s="409" t="s">
        <v>4159</v>
      </c>
      <c r="H278" s="465">
        <v>351.52542999999997</v>
      </c>
      <c r="I278" s="465">
        <v>12.777100000000001</v>
      </c>
      <c r="J278" s="465">
        <v>45.355609999999999</v>
      </c>
      <c r="K278" s="465">
        <v>5195.5664999999999</v>
      </c>
      <c r="L278" s="464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hornéspodné vedenie 3m oliva</v>
      </c>
      <c r="C279" s="185">
        <f t="shared" si="9"/>
        <v>14.572660000000001</v>
      </c>
      <c r="D279" s="409" t="s">
        <v>2927</v>
      </c>
      <c r="E279" s="409" t="s">
        <v>4160</v>
      </c>
      <c r="F279" s="409" t="s">
        <v>4161</v>
      </c>
      <c r="G279" s="409" t="s">
        <v>4162</v>
      </c>
      <c r="H279" s="465">
        <v>405.29887000000002</v>
      </c>
      <c r="I279" s="465">
        <v>14.572660000000001</v>
      </c>
      <c r="J279" s="465">
        <v>54.3048</v>
      </c>
      <c r="K279" s="465">
        <v>5808.12374</v>
      </c>
      <c r="L279" s="464" t="s">
        <v>539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horné/spodné vedenie 3m strieborná</v>
      </c>
      <c r="C280" s="185">
        <f t="shared" si="9"/>
        <v>13.14141</v>
      </c>
      <c r="D280" s="409" t="s">
        <v>2926</v>
      </c>
      <c r="E280" s="409" t="s">
        <v>4163</v>
      </c>
      <c r="F280" s="409" t="s">
        <v>4164</v>
      </c>
      <c r="G280" s="409" t="s">
        <v>4165</v>
      </c>
      <c r="H280" s="465">
        <v>365.49274000000003</v>
      </c>
      <c r="I280" s="465">
        <v>13.14141</v>
      </c>
      <c r="J280" s="465">
        <v>49.368000000000002</v>
      </c>
      <c r="K280" s="465">
        <v>5237.6832100000001</v>
      </c>
      <c r="L280" s="464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9" t="e">
        <v>#N/A</v>
      </c>
      <c r="E281" s="409" t="e">
        <v>#N/A</v>
      </c>
      <c r="F281" s="409" t="e">
        <v>#N/A</v>
      </c>
      <c r="G281" s="409" t="e">
        <v>#N/A</v>
      </c>
      <c r="H281" s="465" t="e">
        <v>#N/A</v>
      </c>
      <c r="I281" s="465" t="e">
        <v>#N/A</v>
      </c>
      <c r="J281" s="465" t="e">
        <v>#N/A</v>
      </c>
      <c r="K281" s="465" t="e">
        <v>#N/A</v>
      </c>
      <c r="L281" s="464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uholník 18x36mm 3m strieborná</v>
      </c>
      <c r="C282" s="185">
        <f t="shared" si="9"/>
        <v>10.74733</v>
      </c>
      <c r="D282" s="409" t="s">
        <v>3280</v>
      </c>
      <c r="E282" s="409" t="s">
        <v>4166</v>
      </c>
      <c r="F282" s="409" t="s">
        <v>4167</v>
      </c>
      <c r="G282" s="409" t="s">
        <v>4168</v>
      </c>
      <c r="H282" s="465">
        <v>298.90791000000002</v>
      </c>
      <c r="I282" s="465">
        <v>10.74733</v>
      </c>
      <c r="J282" s="465">
        <v>39.565800000000003</v>
      </c>
      <c r="K282" s="465">
        <v>4283.4911400000001</v>
      </c>
      <c r="L282" s="464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maska Elegant II 6m biela lesk</v>
      </c>
      <c r="C283" s="185">
        <f t="shared" si="9"/>
        <v>11.762219999999999</v>
      </c>
      <c r="D283" s="409" t="s">
        <v>3376</v>
      </c>
      <c r="E283" s="409" t="s">
        <v>4169</v>
      </c>
      <c r="F283" s="409" t="s">
        <v>4170</v>
      </c>
      <c r="G283" s="409" t="s">
        <v>4171</v>
      </c>
      <c r="H283" s="465">
        <v>327.13407999999998</v>
      </c>
      <c r="I283" s="465">
        <v>11.762219999999999</v>
      </c>
      <c r="J283" s="465">
        <v>43.084800000000001</v>
      </c>
      <c r="K283" s="465">
        <v>4687.9854999999998</v>
      </c>
      <c r="L283" s="464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str">
        <f t="shared" si="8"/>
        <v>SEVROLL upevňov.klín Simple 40ks (sklo 4mm)</v>
      </c>
      <c r="C284" s="185" t="e">
        <f t="shared" si="9"/>
        <v>#N/A</v>
      </c>
      <c r="D284" s="409" t="s">
        <v>3016</v>
      </c>
      <c r="E284" s="409" t="s">
        <v>4172</v>
      </c>
      <c r="F284" s="409" t="s">
        <v>1045</v>
      </c>
      <c r="G284" s="409" t="s">
        <v>4173</v>
      </c>
      <c r="H284" s="465" t="e">
        <v>#N/A</v>
      </c>
      <c r="I284" s="465" t="e">
        <v>#N/A</v>
      </c>
      <c r="J284" s="465" t="e">
        <v>#N/A</v>
      </c>
      <c r="K284" s="465" t="e">
        <v>#N/A</v>
      </c>
      <c r="L284" s="464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spojovacia lišta Simple/Blue H21 3m (pre lamino 18mm) strieborná</v>
      </c>
      <c r="C285" s="185">
        <f t="shared" si="9"/>
        <v>11.423920000000001</v>
      </c>
      <c r="D285" s="409" t="s">
        <v>3344</v>
      </c>
      <c r="E285" s="409" t="s">
        <v>4174</v>
      </c>
      <c r="F285" s="409" t="s">
        <v>4175</v>
      </c>
      <c r="G285" s="409" t="s">
        <v>4176</v>
      </c>
      <c r="H285" s="465">
        <v>314.29667999999998</v>
      </c>
      <c r="I285" s="465">
        <v>11.423920000000001</v>
      </c>
      <c r="J285" s="465">
        <v>46.268070000000002</v>
      </c>
      <c r="K285" s="465">
        <v>4645.3233</v>
      </c>
      <c r="L285" s="464" t="s">
        <v>695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úchytová lišta 2,7m strieborná</v>
      </c>
      <c r="C286" s="185">
        <f t="shared" si="9"/>
        <v>13.089370000000001</v>
      </c>
      <c r="D286" s="409" t="s">
        <v>3165</v>
      </c>
      <c r="E286" s="409" t="s">
        <v>4177</v>
      </c>
      <c r="F286" s="409" t="s">
        <v>4178</v>
      </c>
      <c r="G286" s="409" t="s">
        <v>4179</v>
      </c>
      <c r="H286" s="465">
        <v>364.04523</v>
      </c>
      <c r="I286" s="465">
        <v>13.089370000000001</v>
      </c>
      <c r="J286" s="465">
        <v>54.096670000000003</v>
      </c>
      <c r="K286" s="465">
        <v>5216.93959</v>
      </c>
      <c r="L286" s="464" t="s">
        <v>538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úchytka Push 90mm brúsený nikel</v>
      </c>
      <c r="C287" s="185">
        <f t="shared" si="9"/>
        <v>12.93323</v>
      </c>
      <c r="D287" s="409" t="s">
        <v>3287</v>
      </c>
      <c r="E287" s="409" t="s">
        <v>4180</v>
      </c>
      <c r="F287" s="409" t="s">
        <v>1090</v>
      </c>
      <c r="G287" s="409" t="s">
        <v>4181</v>
      </c>
      <c r="H287" s="465">
        <v>359.70274999999998</v>
      </c>
      <c r="I287" s="465">
        <v>12.93323</v>
      </c>
      <c r="J287" s="465">
        <v>47.093400000000003</v>
      </c>
      <c r="K287" s="465">
        <v>5154.7099399999997</v>
      </c>
      <c r="L287" s="464" t="s">
        <v>539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úchytová lišta 18mm 2,70m strieborná</v>
      </c>
      <c r="C288" s="185">
        <f t="shared" si="9"/>
        <v>11.9704</v>
      </c>
      <c r="D288" s="409" t="s">
        <v>3380</v>
      </c>
      <c r="E288" s="409" t="s">
        <v>4182</v>
      </c>
      <c r="F288" s="409" t="s">
        <v>4183</v>
      </c>
      <c r="G288" s="409" t="s">
        <v>4184</v>
      </c>
      <c r="H288" s="465">
        <v>329.33136999999999</v>
      </c>
      <c r="I288" s="465">
        <v>11.9704</v>
      </c>
      <c r="J288" s="465">
        <v>42.932870000000001</v>
      </c>
      <c r="K288" s="465">
        <v>4867.5369000000001</v>
      </c>
      <c r="L288" s="464" t="s">
        <v>695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horné vedenie 1,2m surová</v>
      </c>
      <c r="C289" s="185">
        <f t="shared" si="9"/>
        <v>15.483449999999999</v>
      </c>
      <c r="D289" s="409" t="s">
        <v>2925</v>
      </c>
      <c r="E289" s="409" t="s">
        <v>4185</v>
      </c>
      <c r="F289" s="409" t="s">
        <v>4186</v>
      </c>
      <c r="G289" s="409" t="s">
        <v>4187</v>
      </c>
      <c r="H289" s="465">
        <v>410.49268999999998</v>
      </c>
      <c r="I289" s="465">
        <v>15.483449999999999</v>
      </c>
      <c r="J289" s="465">
        <v>52.825180000000003</v>
      </c>
      <c r="K289" s="465">
        <v>5996.2412899999999</v>
      </c>
      <c r="L289" s="464" t="s">
        <v>539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okrasná lišta S18 s lepidlom 3m biela lesk</v>
      </c>
      <c r="C290" s="185">
        <f t="shared" si="9"/>
        <v>14.962999999999999</v>
      </c>
      <c r="D290" s="409" t="s">
        <v>3442</v>
      </c>
      <c r="E290" s="409" t="s">
        <v>4188</v>
      </c>
      <c r="F290" s="409" t="s">
        <v>4189</v>
      </c>
      <c r="G290" s="409" t="s">
        <v>4190</v>
      </c>
      <c r="H290" s="465">
        <v>416.1551</v>
      </c>
      <c r="I290" s="465">
        <v>14.962999999999999</v>
      </c>
      <c r="J290" s="465">
        <v>51.453940000000003</v>
      </c>
      <c r="K290" s="465">
        <v>5963.69866</v>
      </c>
      <c r="L290" s="464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str">
        <f t="shared" si="8"/>
        <v>SEVROLL 02998 Maxim II maska 3,5m oliva</v>
      </c>
      <c r="C291" s="185" t="e">
        <f t="shared" si="9"/>
        <v>#N/A</v>
      </c>
      <c r="D291" s="409" t="s">
        <v>3271</v>
      </c>
      <c r="E291" s="409" t="s">
        <v>4191</v>
      </c>
      <c r="F291" s="409" t="s">
        <v>3271</v>
      </c>
      <c r="G291" s="409" t="s">
        <v>4192</v>
      </c>
      <c r="H291" s="465" t="e">
        <v>#N/A</v>
      </c>
      <c r="I291" s="465" t="e">
        <v>#N/A</v>
      </c>
      <c r="J291" s="465" t="e">
        <v>#N/A</v>
      </c>
      <c r="K291" s="465" t="e">
        <v>#N/A</v>
      </c>
      <c r="L291" s="464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spojovacia lišta H08/18 3m biela mat</v>
      </c>
      <c r="C292" s="185">
        <f t="shared" si="9"/>
        <v>11.47597</v>
      </c>
      <c r="D292" s="409" t="s">
        <v>3214</v>
      </c>
      <c r="E292" s="409" t="s">
        <v>4193</v>
      </c>
      <c r="F292" s="409" t="s">
        <v>4194</v>
      </c>
      <c r="G292" s="409" t="s">
        <v>4195</v>
      </c>
      <c r="H292" s="465">
        <v>319.17286000000001</v>
      </c>
      <c r="I292" s="465">
        <v>11.47597</v>
      </c>
      <c r="J292" s="465">
        <v>42.829799999999999</v>
      </c>
      <c r="K292" s="465">
        <v>4573.8973900000001</v>
      </c>
      <c r="L292" s="464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horné vedenie 1,5m oliva</v>
      </c>
      <c r="C293" s="185">
        <f t="shared" si="9"/>
        <v>14.15629</v>
      </c>
      <c r="D293" s="409" t="s">
        <v>3391</v>
      </c>
      <c r="E293" s="409" t="s">
        <v>4196</v>
      </c>
      <c r="F293" s="409" t="s">
        <v>4197</v>
      </c>
      <c r="G293" s="409" t="s">
        <v>4198</v>
      </c>
      <c r="H293" s="465">
        <v>389.47012999999998</v>
      </c>
      <c r="I293" s="465">
        <v>14.15629</v>
      </c>
      <c r="J293" s="465">
        <v>47.466999999999999</v>
      </c>
      <c r="K293" s="465">
        <v>5756.3913000000002</v>
      </c>
      <c r="L293" s="464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horné vedenie 1,2m strieborná</v>
      </c>
      <c r="C294" s="185">
        <f t="shared" si="9"/>
        <v>13.0113</v>
      </c>
      <c r="D294" s="409" t="s">
        <v>2830</v>
      </c>
      <c r="E294" s="409" t="s">
        <v>4199</v>
      </c>
      <c r="F294" s="409" t="s">
        <v>4200</v>
      </c>
      <c r="G294" s="409" t="s">
        <v>4201</v>
      </c>
      <c r="H294" s="465">
        <v>344.95182999999997</v>
      </c>
      <c r="I294" s="465">
        <v>13.0113</v>
      </c>
      <c r="J294" s="465">
        <v>44.390920000000001</v>
      </c>
      <c r="K294" s="465">
        <v>5038.8580599999996</v>
      </c>
      <c r="L294" s="464" t="s">
        <v>539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spodná krycia lišta Simple/Blue 2m(pre lamino 10mm) strieborná</v>
      </c>
      <c r="C295" s="185">
        <f t="shared" si="9"/>
        <v>13.219480000000001</v>
      </c>
      <c r="D295" s="409" t="s">
        <v>3119</v>
      </c>
      <c r="E295" s="409" t="s">
        <v>4202</v>
      </c>
      <c r="F295" s="409" t="s">
        <v>4203</v>
      </c>
      <c r="G295" s="409" t="s">
        <v>4204</v>
      </c>
      <c r="H295" s="465">
        <v>363.69637999999998</v>
      </c>
      <c r="I295" s="465">
        <v>13.219480000000001</v>
      </c>
      <c r="J295" s="465">
        <v>45.701709999999999</v>
      </c>
      <c r="K295" s="465">
        <v>5375.4538599999996</v>
      </c>
      <c r="L295" s="464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Uno úchytová lišta 18mm 2,70m oliva</v>
      </c>
      <c r="C296" s="185">
        <f t="shared" si="9"/>
        <v>14.46857</v>
      </c>
      <c r="D296" s="409" t="s">
        <v>3260</v>
      </c>
      <c r="E296" s="409" t="s">
        <v>4205</v>
      </c>
      <c r="F296" s="409" t="s">
        <v>1088</v>
      </c>
      <c r="G296" s="409" t="s">
        <v>4206</v>
      </c>
      <c r="H296" s="465">
        <v>398.06139999999999</v>
      </c>
      <c r="I296" s="465">
        <v>14.46857</v>
      </c>
      <c r="J296" s="465">
        <v>48.53633</v>
      </c>
      <c r="K296" s="465">
        <v>5883.3708399999996</v>
      </c>
      <c r="L296" s="464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úchytová lišta 18mm 2,70m strieborná</v>
      </c>
      <c r="C297" s="185">
        <f t="shared" si="9"/>
        <v>12.646979999999999</v>
      </c>
      <c r="D297" s="409" t="s">
        <v>3034</v>
      </c>
      <c r="E297" s="409" t="s">
        <v>4207</v>
      </c>
      <c r="F297" s="409" t="s">
        <v>4208</v>
      </c>
      <c r="G297" s="409" t="s">
        <v>4209</v>
      </c>
      <c r="H297" s="465">
        <v>351.74153000000001</v>
      </c>
      <c r="I297" s="465">
        <v>12.646979999999999</v>
      </c>
      <c r="J297" s="465">
        <v>45.701709999999999</v>
      </c>
      <c r="K297" s="465">
        <v>5040.6218200000003</v>
      </c>
      <c r="L297" s="464" t="s">
        <v>695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str">
        <f t="shared" si="8"/>
        <v>SEVROLL Maxim spojovacia lišta H18 2,5m oliv</v>
      </c>
      <c r="C298" s="185" t="e">
        <f t="shared" si="9"/>
        <v>#N/A</v>
      </c>
      <c r="D298" s="409" t="s">
        <v>3178</v>
      </c>
      <c r="E298" s="409" t="s">
        <v>4210</v>
      </c>
      <c r="F298" s="409" t="s">
        <v>1125</v>
      </c>
      <c r="G298" s="409" t="s">
        <v>4211</v>
      </c>
      <c r="H298" s="465" t="e">
        <v>#N/A</v>
      </c>
      <c r="I298" s="465" t="e">
        <v>#N/A</v>
      </c>
      <c r="J298" s="465" t="e">
        <v>#N/A</v>
      </c>
      <c r="K298" s="465" t="e">
        <v>#N/A</v>
      </c>
      <c r="L298" s="464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upevňovací klin Blue 40ks (sklo 4mm)</v>
      </c>
      <c r="C299" s="185">
        <f t="shared" si="9"/>
        <v>12.28267</v>
      </c>
      <c r="D299" s="409" t="s">
        <v>3412</v>
      </c>
      <c r="E299" s="409" t="s">
        <v>4212</v>
      </c>
      <c r="F299" s="409" t="s">
        <v>4213</v>
      </c>
      <c r="G299" s="409" t="s">
        <v>4214</v>
      </c>
      <c r="H299" s="465">
        <v>362.49880000000002</v>
      </c>
      <c r="I299" s="465">
        <v>12.28267</v>
      </c>
      <c r="J299" s="465">
        <v>42.618220000000001</v>
      </c>
      <c r="K299" s="465">
        <v>5034.15506</v>
      </c>
      <c r="L299" s="464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Hide N spodné vedenie Hide N 3m stri</v>
      </c>
      <c r="C300" s="185">
        <f t="shared" si="9"/>
        <v>12.72505</v>
      </c>
      <c r="D300" s="409" t="s">
        <v>2951</v>
      </c>
      <c r="E300" s="409" t="s">
        <v>4215</v>
      </c>
      <c r="F300" s="409" t="s">
        <v>1243</v>
      </c>
      <c r="G300" s="409" t="s">
        <v>4216</v>
      </c>
      <c r="H300" s="465">
        <v>337.36288999999999</v>
      </c>
      <c r="I300" s="465">
        <v>12.72505</v>
      </c>
      <c r="J300" s="465">
        <v>43.414319999999996</v>
      </c>
      <c r="K300" s="465">
        <v>4928.0032300000003</v>
      </c>
      <c r="L300" s="464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spojovacia lišta H16 3m strie</v>
      </c>
      <c r="C301" s="185">
        <f t="shared" si="9"/>
        <v>11.996420000000001</v>
      </c>
      <c r="D301" s="409" t="s">
        <v>3167</v>
      </c>
      <c r="E301" s="409" t="s">
        <v>4217</v>
      </c>
      <c r="F301" s="409" t="s">
        <v>4218</v>
      </c>
      <c r="G301" s="409" t="s">
        <v>4219</v>
      </c>
      <c r="H301" s="465">
        <v>333.64782000000002</v>
      </c>
      <c r="I301" s="465">
        <v>11.996420000000001</v>
      </c>
      <c r="J301" s="465">
        <v>48.042000000000002</v>
      </c>
      <c r="K301" s="465">
        <v>4781.3303900000001</v>
      </c>
      <c r="L301" s="464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úchytová lišta 18mm 2,70m strieborná</v>
      </c>
      <c r="C302" s="185">
        <f t="shared" si="9"/>
        <v>12.464829999999999</v>
      </c>
      <c r="D302" s="409" t="s">
        <v>3345</v>
      </c>
      <c r="E302" s="409" t="s">
        <v>4220</v>
      </c>
      <c r="F302" s="409" t="s">
        <v>4221</v>
      </c>
      <c r="G302" s="409" t="s">
        <v>4222</v>
      </c>
      <c r="H302" s="465">
        <v>342.93419</v>
      </c>
      <c r="I302" s="465">
        <v>12.464829999999999</v>
      </c>
      <c r="J302" s="465">
        <v>51.239409999999999</v>
      </c>
      <c r="K302" s="465">
        <v>5068.5873600000004</v>
      </c>
      <c r="L302" s="464" t="s">
        <v>695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maska 4,05m oliva</v>
      </c>
      <c r="C303" s="185">
        <f t="shared" si="9"/>
        <v>13.609819999999999</v>
      </c>
      <c r="D303" s="409" t="s">
        <v>2900</v>
      </c>
      <c r="E303" s="409" t="s">
        <v>4223</v>
      </c>
      <c r="F303" s="409" t="s">
        <v>2900</v>
      </c>
      <c r="G303" s="409" t="s">
        <v>4224</v>
      </c>
      <c r="H303" s="465">
        <v>378.52019000000001</v>
      </c>
      <c r="I303" s="465">
        <v>13.609819999999999</v>
      </c>
      <c r="J303" s="465">
        <v>46.800719999999998</v>
      </c>
      <c r="K303" s="465">
        <v>5424.3725800000002</v>
      </c>
      <c r="L303" s="464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spodné vedenie 4m oliva</v>
      </c>
      <c r="C304" s="185">
        <f t="shared" si="9"/>
        <v>15.89981</v>
      </c>
      <c r="D304" s="409" t="s">
        <v>3421</v>
      </c>
      <c r="E304" s="409" t="s">
        <v>4225</v>
      </c>
      <c r="F304" s="409" t="s">
        <v>4226</v>
      </c>
      <c r="G304" s="409" t="s">
        <v>4227</v>
      </c>
      <c r="H304" s="465">
        <v>437.43795999999998</v>
      </c>
      <c r="I304" s="465">
        <v>15.89981</v>
      </c>
      <c r="J304" s="465">
        <v>60.97757</v>
      </c>
      <c r="K304" s="465">
        <v>6465.3587500000003</v>
      </c>
      <c r="L304" s="464" t="s">
        <v>539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spodné vedenie  3m oliva</v>
      </c>
      <c r="C305" s="185">
        <f t="shared" si="9"/>
        <v>15.11913</v>
      </c>
      <c r="D305" s="409" t="s">
        <v>3407</v>
      </c>
      <c r="E305" s="409" t="s">
        <v>4228</v>
      </c>
      <c r="F305" s="409" t="s">
        <v>4229</v>
      </c>
      <c r="G305" s="409" t="s">
        <v>4230</v>
      </c>
      <c r="H305" s="465">
        <v>415.95983000000001</v>
      </c>
      <c r="I305" s="465">
        <v>15.11913</v>
      </c>
      <c r="J305" s="465">
        <v>55.219630000000002</v>
      </c>
      <c r="K305" s="465">
        <v>6147.9106899999997</v>
      </c>
      <c r="L305" s="464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Libra úchytová lišta 18mm 2,7m oliva</v>
      </c>
      <c r="C306" s="185">
        <f t="shared" si="9"/>
        <v>16.368220000000001</v>
      </c>
      <c r="D306" s="409" t="s">
        <v>3069</v>
      </c>
      <c r="E306" s="409" t="s">
        <v>4231</v>
      </c>
      <c r="F306" s="409" t="s">
        <v>4232</v>
      </c>
      <c r="G306" s="409" t="s">
        <v>4233</v>
      </c>
      <c r="H306" s="465">
        <v>450.32485000000003</v>
      </c>
      <c r="I306" s="465">
        <v>16.368220000000001</v>
      </c>
      <c r="J306" s="465">
        <v>54.908920000000002</v>
      </c>
      <c r="K306" s="465">
        <v>6655.8276500000002</v>
      </c>
      <c r="L306" s="464" t="s">
        <v>539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horné vedenie 1,7m strieborná</v>
      </c>
      <c r="C307" s="185">
        <f t="shared" si="9"/>
        <v>14.15629</v>
      </c>
      <c r="D307" s="409" t="s">
        <v>2631</v>
      </c>
      <c r="E307" s="409" t="s">
        <v>4234</v>
      </c>
      <c r="F307" s="409" t="s">
        <v>4235</v>
      </c>
      <c r="G307" s="409" t="s">
        <v>2631</v>
      </c>
      <c r="H307" s="465">
        <v>393.71888999999999</v>
      </c>
      <c r="I307" s="465">
        <v>14.15629</v>
      </c>
      <c r="J307" s="465">
        <v>52.183329999999998</v>
      </c>
      <c r="K307" s="465">
        <v>5642.1771799999997</v>
      </c>
      <c r="L307" s="464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str">
        <f t="shared" si="8"/>
        <v>SEVROLL 03752 spodná krycia lišta Simple/Blue 2m (pre lamino 10mm) oliva</v>
      </c>
      <c r="C308" s="185" t="e">
        <f t="shared" si="9"/>
        <v>#N/A</v>
      </c>
      <c r="D308" s="409" t="s">
        <v>3122</v>
      </c>
      <c r="E308" s="409" t="s">
        <v>4236</v>
      </c>
      <c r="F308" s="409" t="s">
        <v>4237</v>
      </c>
      <c r="G308" s="409" t="s">
        <v>4238</v>
      </c>
      <c r="H308" s="465" t="e">
        <v>#N/A</v>
      </c>
      <c r="I308" s="465" t="e">
        <v>#N/A</v>
      </c>
      <c r="J308" s="465" t="e">
        <v>#N/A</v>
      </c>
      <c r="K308" s="465" t="e">
        <v>#N/A</v>
      </c>
      <c r="L308" s="464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Elegant II spodné vedenie 2,35m zlatá</v>
      </c>
      <c r="C309" s="185">
        <f t="shared" si="9"/>
        <v>14.36448</v>
      </c>
      <c r="D309" s="409" t="s">
        <v>2739</v>
      </c>
      <c r="E309" s="409" t="s">
        <v>4239</v>
      </c>
      <c r="F309" s="409" t="s">
        <v>4240</v>
      </c>
      <c r="G309" s="409" t="s">
        <v>4241</v>
      </c>
      <c r="H309" s="465">
        <v>399.50887999999998</v>
      </c>
      <c r="I309" s="465">
        <v>14.36448</v>
      </c>
      <c r="J309" s="465">
        <v>53.968200000000003</v>
      </c>
      <c r="K309" s="465">
        <v>5725.1504599999998</v>
      </c>
      <c r="L309" s="464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maska 4,3m strieborná</v>
      </c>
      <c r="C310" s="185">
        <f t="shared" si="9"/>
        <v>12.273440000000001</v>
      </c>
      <c r="D310" s="409" t="s">
        <v>2902</v>
      </c>
      <c r="E310" s="409" t="s">
        <v>4242</v>
      </c>
      <c r="F310" s="409" t="s">
        <v>4243</v>
      </c>
      <c r="G310" s="409" t="s">
        <v>4244</v>
      </c>
      <c r="H310" s="465">
        <v>324.37049000000002</v>
      </c>
      <c r="I310" s="465">
        <v>12.273440000000001</v>
      </c>
      <c r="J310" s="465">
        <v>43.48977</v>
      </c>
      <c r="K310" s="465">
        <v>4820.4365600000001</v>
      </c>
      <c r="L310" s="464" t="s">
        <v>540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uholník 18x36mm 3m oliva</v>
      </c>
      <c r="C311" s="185">
        <f t="shared" si="9"/>
        <v>13.427659999999999</v>
      </c>
      <c r="D311" s="409" t="s">
        <v>3298</v>
      </c>
      <c r="E311" s="409" t="s">
        <v>4245</v>
      </c>
      <c r="F311" s="409" t="s">
        <v>4246</v>
      </c>
      <c r="G311" s="409" t="s">
        <v>4247</v>
      </c>
      <c r="H311" s="465">
        <v>373.45397000000003</v>
      </c>
      <c r="I311" s="465">
        <v>13.427659999999999</v>
      </c>
      <c r="J311" s="465">
        <v>46.174309999999998</v>
      </c>
      <c r="K311" s="465">
        <v>5351.7713000000003</v>
      </c>
      <c r="L311" s="464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spodné vedenie 3m oliva</v>
      </c>
      <c r="C312" s="185">
        <f t="shared" si="9"/>
        <v>14.91095</v>
      </c>
      <c r="D312" s="409" t="s">
        <v>2952</v>
      </c>
      <c r="E312" s="409" t="s">
        <v>4248</v>
      </c>
      <c r="F312" s="409" t="s">
        <v>4249</v>
      </c>
      <c r="G312" s="409" t="s">
        <v>4250</v>
      </c>
      <c r="H312" s="465">
        <v>395.31477999999998</v>
      </c>
      <c r="I312" s="465">
        <v>14.91095</v>
      </c>
      <c r="J312" s="465">
        <v>50.871980000000001</v>
      </c>
      <c r="K312" s="465">
        <v>5774.5312299999996</v>
      </c>
      <c r="L312" s="464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spodné vedenie  2,35m oliva</v>
      </c>
      <c r="C313" s="185">
        <f t="shared" si="9"/>
        <v>14.36448</v>
      </c>
      <c r="D313" s="409" t="s">
        <v>2740</v>
      </c>
      <c r="E313" s="409" t="s">
        <v>4251</v>
      </c>
      <c r="F313" s="409" t="s">
        <v>4252</v>
      </c>
      <c r="G313" s="409" t="s">
        <v>4253</v>
      </c>
      <c r="H313" s="465">
        <v>399.50887999999998</v>
      </c>
      <c r="I313" s="465">
        <v>14.36448</v>
      </c>
      <c r="J313" s="465">
        <v>53.968200000000003</v>
      </c>
      <c r="K313" s="465">
        <v>5725.1504599999998</v>
      </c>
      <c r="L313" s="464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úchytová lišta 18mm 2,70m oliva</v>
      </c>
      <c r="C314" s="185">
        <f t="shared" si="9"/>
        <v>14.962999999999999</v>
      </c>
      <c r="D314" s="409" t="s">
        <v>3389</v>
      </c>
      <c r="E314" s="409" t="s">
        <v>4254</v>
      </c>
      <c r="F314" s="409" t="s">
        <v>3389</v>
      </c>
      <c r="G314" s="409" t="s">
        <v>4255</v>
      </c>
      <c r="H314" s="465">
        <v>411.66422</v>
      </c>
      <c r="I314" s="465">
        <v>14.962999999999999</v>
      </c>
      <c r="J314" s="465">
        <v>50.194949999999999</v>
      </c>
      <c r="K314" s="465">
        <v>6084.4213099999997</v>
      </c>
      <c r="L314" s="464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str">
        <f t="shared" si="8"/>
        <v>SEVROLL 03176 Optima 16 úchytová lišta 2,4m strieborná</v>
      </c>
      <c r="C315" s="185" t="e">
        <f t="shared" si="9"/>
        <v>#N/A</v>
      </c>
      <c r="D315" s="409" t="s">
        <v>4256</v>
      </c>
      <c r="E315" s="409" t="s">
        <v>4257</v>
      </c>
      <c r="F315" s="409" t="s">
        <v>4258</v>
      </c>
      <c r="G315" s="409" t="s">
        <v>4259</v>
      </c>
      <c r="H315" s="465" t="e">
        <v>#N/A</v>
      </c>
      <c r="I315" s="465" t="e">
        <v>#N/A</v>
      </c>
      <c r="J315" s="465" t="e">
        <v>#N/A</v>
      </c>
      <c r="K315" s="465" t="e">
        <v>#N/A</v>
      </c>
      <c r="L315" s="464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úchytová lišta 2,4m strieborná</v>
      </c>
      <c r="C316" s="185">
        <f t="shared" si="9"/>
        <v>13.609819999999999</v>
      </c>
      <c r="D316" s="409" t="s">
        <v>2945</v>
      </c>
      <c r="E316" s="409" t="s">
        <v>4260</v>
      </c>
      <c r="F316" s="409" t="s">
        <v>4261</v>
      </c>
      <c r="G316" s="409" t="s">
        <v>4262</v>
      </c>
      <c r="H316" s="465">
        <v>378.52019000000001</v>
      </c>
      <c r="I316" s="465">
        <v>13.609819999999999</v>
      </c>
      <c r="J316" s="465">
        <v>46.800719999999998</v>
      </c>
      <c r="K316" s="465">
        <v>5424.3725800000002</v>
      </c>
      <c r="L316" s="464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tĺmič dorazu Sevromatic 10/18mm 14-25kg ľavý</v>
      </c>
      <c r="C317" s="185">
        <f t="shared" si="9"/>
        <v>12.85516</v>
      </c>
      <c r="D317" s="409" t="s">
        <v>3134</v>
      </c>
      <c r="E317" s="409" t="s">
        <v>4263</v>
      </c>
      <c r="F317" s="409" t="s">
        <v>4264</v>
      </c>
      <c r="G317" s="409" t="s">
        <v>4265</v>
      </c>
      <c r="H317" s="465">
        <v>379.39492999999999</v>
      </c>
      <c r="I317" s="465">
        <v>12.85516</v>
      </c>
      <c r="J317" s="465">
        <v>44.777999999999999</v>
      </c>
      <c r="K317" s="465">
        <v>5268.7977899999996</v>
      </c>
      <c r="L317" s="464" t="s">
        <v>695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tĺmič dorazu Sevromatic 10/18mm 14-25kg pravý</v>
      </c>
      <c r="C318" s="185">
        <f t="shared" si="9"/>
        <v>12.85516</v>
      </c>
      <c r="D318" s="409" t="s">
        <v>3135</v>
      </c>
      <c r="E318" s="409" t="s">
        <v>4266</v>
      </c>
      <c r="F318" s="409" t="s">
        <v>4267</v>
      </c>
      <c r="G318" s="409" t="s">
        <v>4268</v>
      </c>
      <c r="H318" s="465">
        <v>379.39492999999999</v>
      </c>
      <c r="I318" s="465">
        <v>12.85516</v>
      </c>
      <c r="J318" s="465">
        <v>44.777999999999999</v>
      </c>
      <c r="K318" s="465">
        <v>5268.7977899999996</v>
      </c>
      <c r="L318" s="464" t="s">
        <v>695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tlmič dorazu Sevromatic 10/18mm 25-50kg ľavý</v>
      </c>
      <c r="C319" s="185">
        <f t="shared" si="9"/>
        <v>12.85516</v>
      </c>
      <c r="D319" s="409" t="s">
        <v>3136</v>
      </c>
      <c r="E319" s="409" t="s">
        <v>4269</v>
      </c>
      <c r="F319" s="409" t="s">
        <v>4270</v>
      </c>
      <c r="G319" s="409" t="s">
        <v>4271</v>
      </c>
      <c r="H319" s="465">
        <v>379.39492999999999</v>
      </c>
      <c r="I319" s="465">
        <v>12.85516</v>
      </c>
      <c r="J319" s="465">
        <v>44.777999999999999</v>
      </c>
      <c r="K319" s="465">
        <v>5268.7977899999996</v>
      </c>
      <c r="L319" s="464" t="s">
        <v>695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tlmič dorazu Sevromatic 10/18mm 25-50kg pravý</v>
      </c>
      <c r="C320" s="185">
        <f t="shared" si="9"/>
        <v>12.85516</v>
      </c>
      <c r="D320" s="409" t="s">
        <v>3137</v>
      </c>
      <c r="E320" s="409" t="s">
        <v>4272</v>
      </c>
      <c r="F320" s="409" t="s">
        <v>4273</v>
      </c>
      <c r="G320" s="409" t="s">
        <v>4274</v>
      </c>
      <c r="H320" s="465">
        <v>379.39492999999999</v>
      </c>
      <c r="I320" s="465">
        <v>12.85516</v>
      </c>
      <c r="J320" s="465">
        <v>44.777999999999999</v>
      </c>
      <c r="K320" s="465">
        <v>5268.7977899999996</v>
      </c>
      <c r="L320" s="464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Simple horné vedenie 2m strieborná</v>
      </c>
      <c r="C321" s="185">
        <f t="shared" si="9"/>
        <v>14.312430000000001</v>
      </c>
      <c r="D321" s="409" t="s">
        <v>3083</v>
      </c>
      <c r="E321" s="409" t="s">
        <v>4275</v>
      </c>
      <c r="F321" s="409" t="s">
        <v>1050</v>
      </c>
      <c r="G321" s="409" t="s">
        <v>4276</v>
      </c>
      <c r="H321" s="465">
        <v>393.76576</v>
      </c>
      <c r="I321" s="465">
        <v>14.312430000000001</v>
      </c>
      <c r="J321" s="465">
        <v>52.592370000000003</v>
      </c>
      <c r="K321" s="465">
        <v>5819.8810599999997</v>
      </c>
      <c r="L321" s="464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Exclusive horné vedenie 1,2m oliva</v>
      </c>
      <c r="C322" s="185">
        <f t="shared" si="9"/>
        <v>15.795719999999999</v>
      </c>
      <c r="D322" s="409" t="s">
        <v>2985</v>
      </c>
      <c r="E322" s="409" t="s">
        <v>4277</v>
      </c>
      <c r="F322" s="409" t="s">
        <v>1175</v>
      </c>
      <c r="G322" s="409" t="s">
        <v>4278</v>
      </c>
      <c r="H322" s="465">
        <v>418.77152000000001</v>
      </c>
      <c r="I322" s="465">
        <v>15.795719999999999</v>
      </c>
      <c r="J322" s="465">
        <v>53.890560000000001</v>
      </c>
      <c r="K322" s="465">
        <v>6117.1738100000002</v>
      </c>
      <c r="L322" s="464" t="s">
        <v>539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9" t="e">
        <v>#N/A</v>
      </c>
      <c r="E323" s="409" t="e">
        <v>#N/A</v>
      </c>
      <c r="F323" s="409" t="e">
        <v>#N/A</v>
      </c>
      <c r="G323" s="409" t="e">
        <v>#N/A</v>
      </c>
      <c r="H323" s="465" t="e">
        <v>#N/A</v>
      </c>
      <c r="I323" s="465" t="e">
        <v>#N/A</v>
      </c>
      <c r="J323" s="465" t="e">
        <v>#N/A</v>
      </c>
      <c r="K323" s="465" t="e">
        <v>#N/A</v>
      </c>
      <c r="L323" s="464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Comfort spodné vedenie 1,7m oliva</v>
      </c>
      <c r="C324" s="185">
        <f t="shared" ref="C324:C387" si="11">IF($A$2=1,H324,IF($A$2=2,I324,IF($A$2=3,J324,IF($A$2=4,K324,IF($A$2&gt;4,O324,"zadat jazyk")))))</f>
        <v>16.940709999999999</v>
      </c>
      <c r="D324" s="409" t="s">
        <v>3021</v>
      </c>
      <c r="E324" s="409" t="s">
        <v>4279</v>
      </c>
      <c r="F324" s="409" t="s">
        <v>1183</v>
      </c>
      <c r="G324" s="409" t="s">
        <v>4280</v>
      </c>
      <c r="H324" s="465">
        <v>471.15992999999997</v>
      </c>
      <c r="I324" s="465">
        <v>16.940709999999999</v>
      </c>
      <c r="J324" s="465">
        <v>62.933999999999997</v>
      </c>
      <c r="K324" s="465">
        <v>6751.9437900000003</v>
      </c>
      <c r="L324" s="464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spodné vedenie 1,7m strieborná</v>
      </c>
      <c r="C325" s="185">
        <f t="shared" si="11"/>
        <v>15.275270000000001</v>
      </c>
      <c r="D325" s="409" t="s">
        <v>2836</v>
      </c>
      <c r="E325" s="409" t="s">
        <v>4281</v>
      </c>
      <c r="F325" s="409" t="s">
        <v>4282</v>
      </c>
      <c r="G325" s="409" t="s">
        <v>4283</v>
      </c>
      <c r="H325" s="465">
        <v>424.84007000000003</v>
      </c>
      <c r="I325" s="465">
        <v>15.275270000000001</v>
      </c>
      <c r="J325" s="465">
        <v>57.191400000000002</v>
      </c>
      <c r="K325" s="465">
        <v>6088.1583799999999</v>
      </c>
      <c r="L325" s="464" t="s">
        <v>539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úchytová lišta 18mm 2,70m oliva</v>
      </c>
      <c r="C326" s="185">
        <f t="shared" si="11"/>
        <v>15.925829999999999</v>
      </c>
      <c r="D326" s="409" t="s">
        <v>3035</v>
      </c>
      <c r="E326" s="409" t="s">
        <v>4284</v>
      </c>
      <c r="F326" s="409" t="s">
        <v>3035</v>
      </c>
      <c r="G326" s="409" t="s">
        <v>4285</v>
      </c>
      <c r="H326" s="465">
        <v>442.93376000000001</v>
      </c>
      <c r="I326" s="465">
        <v>15.925829999999999</v>
      </c>
      <c r="J326" s="465">
        <v>54.764899999999997</v>
      </c>
      <c r="K326" s="465">
        <v>6347.4494199999999</v>
      </c>
      <c r="L326" s="464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str">
        <f t="shared" si="10"/>
        <v>SEVROLL Maxim spojovacia lišta H25 1,8m strieborná</v>
      </c>
      <c r="C327" s="185" t="e">
        <f t="shared" si="11"/>
        <v>#N/A</v>
      </c>
      <c r="D327" s="409" t="s">
        <v>2765</v>
      </c>
      <c r="E327" s="409" t="s">
        <v>4286</v>
      </c>
      <c r="F327" s="409" t="s">
        <v>4287</v>
      </c>
      <c r="G327" s="409" t="s">
        <v>4288</v>
      </c>
      <c r="H327" s="465" t="e">
        <v>#N/A</v>
      </c>
      <c r="I327" s="465" t="e">
        <v>#N/A</v>
      </c>
      <c r="J327" s="465" t="e">
        <v>#N/A</v>
      </c>
      <c r="K327" s="465" t="e">
        <v>#N/A</v>
      </c>
      <c r="L327" s="464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spojovacia lišta H16 3m oliva</v>
      </c>
      <c r="C328" s="185">
        <f t="shared" si="11"/>
        <v>15.015040000000001</v>
      </c>
      <c r="D328" s="409" t="s">
        <v>3168</v>
      </c>
      <c r="E328" s="409" t="s">
        <v>4289</v>
      </c>
      <c r="F328" s="409" t="s">
        <v>4290</v>
      </c>
      <c r="G328" s="409" t="s">
        <v>4291</v>
      </c>
      <c r="H328" s="465">
        <v>416.87885</v>
      </c>
      <c r="I328" s="465">
        <v>15.015040000000001</v>
      </c>
      <c r="J328" s="465">
        <v>52.856400000000001</v>
      </c>
      <c r="K328" s="465">
        <v>5974.0702899999997</v>
      </c>
      <c r="L328" s="464" t="s">
        <v>539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spojovacia lišta H10 3m zlatá</v>
      </c>
      <c r="C329" s="185">
        <f t="shared" si="11"/>
        <v>15.22322</v>
      </c>
      <c r="D329" s="409" t="s">
        <v>2683</v>
      </c>
      <c r="E329" s="409" t="s">
        <v>4292</v>
      </c>
      <c r="F329" s="409" t="s">
        <v>4293</v>
      </c>
      <c r="G329" s="409" t="s">
        <v>4294</v>
      </c>
      <c r="H329" s="465">
        <v>423.39258000000001</v>
      </c>
      <c r="I329" s="465">
        <v>15.22322</v>
      </c>
      <c r="J329" s="465">
        <v>56.915999999999997</v>
      </c>
      <c r="K329" s="465">
        <v>6067.4151700000002</v>
      </c>
      <c r="L329" s="464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úchytová lišta 2,7m strieborná</v>
      </c>
      <c r="C330" s="185">
        <f t="shared" si="11"/>
        <v>16.160029999999999</v>
      </c>
      <c r="D330" s="409" t="s">
        <v>2834</v>
      </c>
      <c r="E330" s="409" t="s">
        <v>4295</v>
      </c>
      <c r="F330" s="409" t="s">
        <v>4296</v>
      </c>
      <c r="G330" s="409" t="s">
        <v>4297</v>
      </c>
      <c r="H330" s="465">
        <v>449.44749000000002</v>
      </c>
      <c r="I330" s="465">
        <v>16.160029999999999</v>
      </c>
      <c r="J330" s="465">
        <v>55.570270000000001</v>
      </c>
      <c r="K330" s="465">
        <v>6440.7942999999996</v>
      </c>
      <c r="L330" s="464" t="s">
        <v>539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spodné vedenie  2,35m oliva</v>
      </c>
      <c r="C331" s="185">
        <f t="shared" si="11"/>
        <v>14.80686</v>
      </c>
      <c r="D331" s="409" t="s">
        <v>3308</v>
      </c>
      <c r="E331" s="409" t="s">
        <v>4298</v>
      </c>
      <c r="F331" s="409" t="s">
        <v>4299</v>
      </c>
      <c r="G331" s="409" t="s">
        <v>4300</v>
      </c>
      <c r="H331" s="465">
        <v>411.81259999999997</v>
      </c>
      <c r="I331" s="465">
        <v>14.80686</v>
      </c>
      <c r="J331" s="465">
        <v>50.91704</v>
      </c>
      <c r="K331" s="465">
        <v>5901.4686199999996</v>
      </c>
      <c r="L331" s="464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Simple spodné vedenie 4m strieborná</v>
      </c>
      <c r="C332" s="185">
        <f t="shared" si="11"/>
        <v>15.015040000000001</v>
      </c>
      <c r="D332" s="409" t="s">
        <v>3091</v>
      </c>
      <c r="E332" s="409" t="s">
        <v>4301</v>
      </c>
      <c r="F332" s="409" t="s">
        <v>4302</v>
      </c>
      <c r="G332" s="409" t="s">
        <v>4303</v>
      </c>
      <c r="H332" s="465">
        <v>413.09609</v>
      </c>
      <c r="I332" s="465">
        <v>15.015040000000001</v>
      </c>
      <c r="J332" s="465">
        <v>55.125230000000002</v>
      </c>
      <c r="K332" s="465">
        <v>6105.5844399999996</v>
      </c>
      <c r="L332" s="464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úchytová lišta 18mm 2,7m zlatá</v>
      </c>
      <c r="C333" s="185">
        <f t="shared" si="11"/>
        <v>15.925829999999999</v>
      </c>
      <c r="D333" s="409" t="s">
        <v>1190</v>
      </c>
      <c r="E333" s="409" t="s">
        <v>4304</v>
      </c>
      <c r="F333" s="409" t="s">
        <v>4305</v>
      </c>
      <c r="G333" s="409" t="s">
        <v>4306</v>
      </c>
      <c r="H333" s="465">
        <v>442.93376000000001</v>
      </c>
      <c r="I333" s="465">
        <v>15.925829999999999</v>
      </c>
      <c r="J333" s="465">
        <v>54.764899999999997</v>
      </c>
      <c r="K333" s="465">
        <v>6347.4494199999999</v>
      </c>
      <c r="L333" s="464" t="s">
        <v>538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maska Elegant II 6m čierna kartáčovaná</v>
      </c>
      <c r="C334" s="185">
        <f t="shared" si="11"/>
        <v>16.342189999999999</v>
      </c>
      <c r="D334" s="409" t="s">
        <v>3375</v>
      </c>
      <c r="E334" s="409" t="s">
        <v>4307</v>
      </c>
      <c r="F334" s="409" t="s">
        <v>4308</v>
      </c>
      <c r="G334" s="409" t="s">
        <v>4309</v>
      </c>
      <c r="H334" s="465">
        <v>454.51373999999998</v>
      </c>
      <c r="I334" s="465">
        <v>16.342189999999999</v>
      </c>
      <c r="J334" s="465">
        <v>56.196660000000001</v>
      </c>
      <c r="K334" s="465">
        <v>6513.3959800000002</v>
      </c>
      <c r="L334" s="464" t="s">
        <v>538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maska Elegant II 6m oliva kartáčovaná</v>
      </c>
      <c r="C335" s="185">
        <f t="shared" si="11"/>
        <v>16.342189999999999</v>
      </c>
      <c r="D335" s="409" t="s">
        <v>3373</v>
      </c>
      <c r="E335" s="409" t="s">
        <v>4310</v>
      </c>
      <c r="F335" s="409" t="s">
        <v>3373</v>
      </c>
      <c r="G335" s="409" t="s">
        <v>4311</v>
      </c>
      <c r="H335" s="465">
        <v>454.51373999999998</v>
      </c>
      <c r="I335" s="465">
        <v>16.342189999999999</v>
      </c>
      <c r="J335" s="465">
        <v>56.196660000000001</v>
      </c>
      <c r="K335" s="465">
        <v>6513.3959800000002</v>
      </c>
      <c r="L335" s="464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maska Elegant II 6m oliva tmavá kartáčovaná</v>
      </c>
      <c r="C336" s="185">
        <f t="shared" si="11"/>
        <v>16.342189999999999</v>
      </c>
      <c r="D336" s="409" t="s">
        <v>3374</v>
      </c>
      <c r="E336" s="409" t="s">
        <v>4312</v>
      </c>
      <c r="F336" s="409" t="s">
        <v>3374</v>
      </c>
      <c r="G336" s="409" t="s">
        <v>4313</v>
      </c>
      <c r="H336" s="465">
        <v>454.51373999999998</v>
      </c>
      <c r="I336" s="465">
        <v>16.342189999999999</v>
      </c>
      <c r="J336" s="465">
        <v>56.196660000000001</v>
      </c>
      <c r="K336" s="465">
        <v>6513.3959800000002</v>
      </c>
      <c r="L336" s="464" t="s">
        <v>539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str">
        <f t="shared" si="10"/>
        <v>SEVROLL Maxim II maska 4,3m oliva</v>
      </c>
      <c r="C337" s="185" t="e">
        <f t="shared" si="11"/>
        <v>#N/A</v>
      </c>
      <c r="D337" s="409" t="s">
        <v>3173</v>
      </c>
      <c r="E337" s="409" t="s">
        <v>4314</v>
      </c>
      <c r="F337" s="409" t="s">
        <v>1130</v>
      </c>
      <c r="G337" s="409" t="s">
        <v>4315</v>
      </c>
      <c r="H337" s="465" t="e">
        <v>#N/A</v>
      </c>
      <c r="I337" s="465" t="e">
        <v>#N/A</v>
      </c>
      <c r="J337" s="465" t="e">
        <v>#N/A</v>
      </c>
      <c r="K337" s="465" t="e">
        <v>#N/A</v>
      </c>
      <c r="L337" s="464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153 SPOJ.LIŠTA "H 10"3M OLIVOVÁ</v>
      </c>
      <c r="C338" s="185">
        <f t="shared" si="11"/>
        <v>15.22322</v>
      </c>
      <c r="D338" s="409" t="s">
        <v>2670</v>
      </c>
      <c r="E338" s="409" t="s">
        <v>4316</v>
      </c>
      <c r="F338" s="409" t="s">
        <v>4317</v>
      </c>
      <c r="G338" s="409" t="s">
        <v>4318</v>
      </c>
      <c r="H338" s="465">
        <v>423.39258000000001</v>
      </c>
      <c r="I338" s="465">
        <v>15.22322</v>
      </c>
      <c r="J338" s="465">
        <v>56.915999999999997</v>
      </c>
      <c r="K338" s="465">
        <v>6067.4151700000002</v>
      </c>
      <c r="L338" s="464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SPOJ.LIŠTA "H10" 3M STR.</v>
      </c>
      <c r="C339" s="185">
        <f t="shared" si="11"/>
        <v>12.17858</v>
      </c>
      <c r="D339" s="409" t="s">
        <v>2669</v>
      </c>
      <c r="E339" s="409" t="s">
        <v>4319</v>
      </c>
      <c r="F339" s="409" t="s">
        <v>4320</v>
      </c>
      <c r="G339" s="409" t="s">
        <v>4321</v>
      </c>
      <c r="H339" s="465">
        <v>338.71406000000002</v>
      </c>
      <c r="I339" s="465">
        <v>12.17858</v>
      </c>
      <c r="J339" s="465">
        <v>51.754800000000003</v>
      </c>
      <c r="K339" s="465">
        <v>4853.9320600000001</v>
      </c>
      <c r="L339" s="464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SPOJ.LIŠTA "H10" 3M STR.</v>
      </c>
      <c r="C340" s="185">
        <f t="shared" si="11"/>
        <v>12.17858</v>
      </c>
      <c r="D340" s="409" t="s">
        <v>2669</v>
      </c>
      <c r="E340" s="409" t="s">
        <v>4319</v>
      </c>
      <c r="F340" s="409" t="s">
        <v>4320</v>
      </c>
      <c r="G340" s="409" t="s">
        <v>4321</v>
      </c>
      <c r="H340" s="465">
        <v>338.71406000000002</v>
      </c>
      <c r="I340" s="465">
        <v>12.17858</v>
      </c>
      <c r="J340" s="465">
        <v>51.754800000000003</v>
      </c>
      <c r="K340" s="465">
        <v>4853.9320600000001</v>
      </c>
      <c r="L340" s="464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spodné vedenie 1,7m strieborná</v>
      </c>
      <c r="C341" s="185">
        <f t="shared" si="11"/>
        <v>14.46857</v>
      </c>
      <c r="D341" s="409" t="s">
        <v>2883</v>
      </c>
      <c r="E341" s="409" t="s">
        <v>4322</v>
      </c>
      <c r="F341" s="409" t="s">
        <v>4323</v>
      </c>
      <c r="G341" s="409" t="s">
        <v>4324</v>
      </c>
      <c r="H341" s="465">
        <v>402.40388999999999</v>
      </c>
      <c r="I341" s="465">
        <v>14.46857</v>
      </c>
      <c r="J341" s="465">
        <v>53.335799999999999</v>
      </c>
      <c r="K341" s="465">
        <v>5766.6373000000003</v>
      </c>
      <c r="L341" s="464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profil "U" pre lamino 36mm strieborná 3m</v>
      </c>
      <c r="C342" s="185">
        <f t="shared" si="11"/>
        <v>13.50573</v>
      </c>
      <c r="D342" s="409" t="s">
        <v>2879</v>
      </c>
      <c r="E342" s="409" t="s">
        <v>4325</v>
      </c>
      <c r="F342" s="409" t="s">
        <v>4326</v>
      </c>
      <c r="G342" s="409" t="s">
        <v>4327</v>
      </c>
      <c r="H342" s="465">
        <v>375.62520000000001</v>
      </c>
      <c r="I342" s="465">
        <v>13.50573</v>
      </c>
      <c r="J342" s="465">
        <v>47.144399999999997</v>
      </c>
      <c r="K342" s="465">
        <v>5382.8861399999996</v>
      </c>
      <c r="L342" s="464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Idea horné/spodné vedenie 2m strieborná</v>
      </c>
      <c r="C343" s="185">
        <f t="shared" si="11"/>
        <v>15.1972</v>
      </c>
      <c r="D343" s="409" t="s">
        <v>3281</v>
      </c>
      <c r="E343" s="409" t="s">
        <v>4328</v>
      </c>
      <c r="F343" s="409" t="s">
        <v>4329</v>
      </c>
      <c r="G343" s="409" t="s">
        <v>4330</v>
      </c>
      <c r="H343" s="465">
        <v>422.66881000000001</v>
      </c>
      <c r="I343" s="465">
        <v>15.1972</v>
      </c>
      <c r="J343" s="465">
        <v>52.259309999999999</v>
      </c>
      <c r="K343" s="465">
        <v>6057.0431500000004</v>
      </c>
      <c r="L343" s="464" t="s">
        <v>539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str">
        <f t="shared" si="10"/>
        <v>SEVROLL Simple horné vedenie 2m oliva</v>
      </c>
      <c r="C344" s="185" t="e">
        <f t="shared" si="11"/>
        <v>#N/A</v>
      </c>
      <c r="D344" s="409" t="s">
        <v>3093</v>
      </c>
      <c r="E344" s="409" t="s">
        <v>4331</v>
      </c>
      <c r="F344" s="409" t="s">
        <v>4332</v>
      </c>
      <c r="G344" s="409" t="s">
        <v>4333</v>
      </c>
      <c r="H344" s="465" t="e">
        <v>#N/A</v>
      </c>
      <c r="I344" s="465" t="e">
        <v>#N/A</v>
      </c>
      <c r="J344" s="465" t="e">
        <v>#N/A</v>
      </c>
      <c r="K344" s="465" t="e">
        <v>#N/A</v>
      </c>
      <c r="L344" s="464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horné vedenie 1,7m zlatá</v>
      </c>
      <c r="C345" s="185">
        <f t="shared" si="11"/>
        <v>17.69537</v>
      </c>
      <c r="D345" s="409" t="s">
        <v>2629</v>
      </c>
      <c r="E345" s="409" t="s">
        <v>4334</v>
      </c>
      <c r="F345" s="409" t="s">
        <v>4335</v>
      </c>
      <c r="G345" s="409" t="s">
        <v>4336</v>
      </c>
      <c r="H345" s="465">
        <v>492.14863000000003</v>
      </c>
      <c r="I345" s="465">
        <v>17.69537</v>
      </c>
      <c r="J345" s="465">
        <v>66.766980000000004</v>
      </c>
      <c r="K345" s="465">
        <v>7052.7216600000002</v>
      </c>
      <c r="L345" s="464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spodné vedenie  3m strieborná</v>
      </c>
      <c r="C346" s="185">
        <f t="shared" si="11"/>
        <v>14.28641</v>
      </c>
      <c r="D346" s="409" t="s">
        <v>2754</v>
      </c>
      <c r="E346" s="409" t="s">
        <v>4337</v>
      </c>
      <c r="F346" s="409" t="s">
        <v>4338</v>
      </c>
      <c r="G346" s="409" t="s">
        <v>4339</v>
      </c>
      <c r="H346" s="465">
        <v>397.33764000000002</v>
      </c>
      <c r="I346" s="465">
        <v>14.28641</v>
      </c>
      <c r="J346" s="465">
        <v>52.749690000000001</v>
      </c>
      <c r="K346" s="465">
        <v>5694.0356199999997</v>
      </c>
      <c r="L346" s="464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str">
        <f t="shared" si="10"/>
        <v>SEVROLL 02021 Maxim vodiaca lišta 1,8m strieborná</v>
      </c>
      <c r="C347" s="185" t="e">
        <f t="shared" si="11"/>
        <v>#N/A</v>
      </c>
      <c r="D347" s="409" t="s">
        <v>2799</v>
      </c>
      <c r="E347" s="409" t="s">
        <v>4340</v>
      </c>
      <c r="F347" s="409" t="s">
        <v>4341</v>
      </c>
      <c r="G347" s="409" t="s">
        <v>4342</v>
      </c>
      <c r="H347" s="465" t="e">
        <v>#N/A</v>
      </c>
      <c r="I347" s="465" t="e">
        <v>#N/A</v>
      </c>
      <c r="J347" s="465" t="e">
        <v>#N/A</v>
      </c>
      <c r="K347" s="465" t="e">
        <v>#N/A</v>
      </c>
      <c r="L347" s="464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spodné vedenie 1,7m oliva</v>
      </c>
      <c r="C348" s="185">
        <f t="shared" si="11"/>
        <v>18.085709999999999</v>
      </c>
      <c r="D348" s="409" t="s">
        <v>2887</v>
      </c>
      <c r="E348" s="409" t="s">
        <v>4343</v>
      </c>
      <c r="F348" s="409" t="s">
        <v>4344</v>
      </c>
      <c r="G348" s="409" t="s">
        <v>4345</v>
      </c>
      <c r="H348" s="465">
        <v>503.00486000000001</v>
      </c>
      <c r="I348" s="465">
        <v>18.085709999999999</v>
      </c>
      <c r="J348" s="465">
        <v>62.192169999999997</v>
      </c>
      <c r="K348" s="465">
        <v>7208.2966100000003</v>
      </c>
      <c r="L348" s="464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krycí profil Galaxy 3m</v>
      </c>
      <c r="C349" s="185">
        <f t="shared" si="11"/>
        <v>17.35707</v>
      </c>
      <c r="D349" s="409" t="s">
        <v>3243</v>
      </c>
      <c r="E349" s="409" t="s">
        <v>4346</v>
      </c>
      <c r="F349" s="409" t="s">
        <v>1232</v>
      </c>
      <c r="G349" s="409" t="s">
        <v>4347</v>
      </c>
      <c r="H349" s="465">
        <v>460.16574000000003</v>
      </c>
      <c r="I349" s="465">
        <v>17.35707</v>
      </c>
      <c r="J349" s="465">
        <v>59.217480000000002</v>
      </c>
      <c r="K349" s="465">
        <v>6721.8367699999999</v>
      </c>
      <c r="L349" s="464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str">
        <f t="shared" si="10"/>
        <v>SEVROLL Herkules 2 horné vedenie 1,2m alu</v>
      </c>
      <c r="C350" s="185" t="e">
        <f t="shared" si="11"/>
        <v>#N/A</v>
      </c>
      <c r="D350" s="409" t="s">
        <v>3049</v>
      </c>
      <c r="E350" s="409" t="s">
        <v>4348</v>
      </c>
      <c r="F350" s="409" t="s">
        <v>4349</v>
      </c>
      <c r="G350" s="409" t="s">
        <v>4350</v>
      </c>
      <c r="H350" s="465" t="e">
        <v>#N/A</v>
      </c>
      <c r="I350" s="465" t="e">
        <v>#N/A</v>
      </c>
      <c r="J350" s="465" t="e">
        <v>#N/A</v>
      </c>
      <c r="K350" s="465" t="e">
        <v>#N/A</v>
      </c>
      <c r="L350" s="464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úchytová lišta 2,7m strieborná</v>
      </c>
      <c r="C351" s="185">
        <f t="shared" si="11"/>
        <v>16.784579999999998</v>
      </c>
      <c r="D351" s="409" t="s">
        <v>2766</v>
      </c>
      <c r="E351" s="409" t="s">
        <v>4351</v>
      </c>
      <c r="F351" s="409" t="s">
        <v>4352</v>
      </c>
      <c r="G351" s="409" t="s">
        <v>4353</v>
      </c>
      <c r="H351" s="465">
        <v>466.81745999999998</v>
      </c>
      <c r="I351" s="465">
        <v>16.784579999999998</v>
      </c>
      <c r="J351" s="465">
        <v>61.863</v>
      </c>
      <c r="K351" s="465">
        <v>6689.71414</v>
      </c>
      <c r="L351" s="464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horné vedenie  2m strieborná</v>
      </c>
      <c r="C352" s="185">
        <f t="shared" si="11"/>
        <v>15.093109999999999</v>
      </c>
      <c r="D352" s="409" t="s">
        <v>3381</v>
      </c>
      <c r="E352" s="409" t="s">
        <v>4354</v>
      </c>
      <c r="F352" s="409" t="s">
        <v>4355</v>
      </c>
      <c r="G352" s="409" t="s">
        <v>4356</v>
      </c>
      <c r="H352" s="465">
        <v>415.2439</v>
      </c>
      <c r="I352" s="465">
        <v>15.093109999999999</v>
      </c>
      <c r="J352" s="465">
        <v>53.662149999999997</v>
      </c>
      <c r="K352" s="465">
        <v>6137.3291399999998</v>
      </c>
      <c r="L352" s="464" t="s">
        <v>695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str">
        <f t="shared" si="10"/>
        <v>SEVROLL Simple spodné vedenie 4m oliva</v>
      </c>
      <c r="C353" s="185" t="e">
        <f t="shared" si="11"/>
        <v>#N/A</v>
      </c>
      <c r="D353" s="409" t="s">
        <v>3101</v>
      </c>
      <c r="E353" s="409" t="s">
        <v>4357</v>
      </c>
      <c r="F353" s="409" t="s">
        <v>4358</v>
      </c>
      <c r="G353" s="409" t="s">
        <v>4359</v>
      </c>
      <c r="H353" s="465" t="e">
        <v>#N/A</v>
      </c>
      <c r="I353" s="465" t="e">
        <v>#N/A</v>
      </c>
      <c r="J353" s="465" t="e">
        <v>#N/A</v>
      </c>
      <c r="K353" s="465" t="e">
        <v>#N/A</v>
      </c>
      <c r="L353" s="464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spodné vedenie  4m strieborná</v>
      </c>
      <c r="C354" s="185">
        <f t="shared" si="11"/>
        <v>16.13401</v>
      </c>
      <c r="D354" s="409" t="s">
        <v>3411</v>
      </c>
      <c r="E354" s="409" t="s">
        <v>4360</v>
      </c>
      <c r="F354" s="409" t="s">
        <v>4361</v>
      </c>
      <c r="G354" s="409" t="s">
        <v>2408</v>
      </c>
      <c r="H354" s="465">
        <v>443.88141000000002</v>
      </c>
      <c r="I354" s="465">
        <v>16.13401</v>
      </c>
      <c r="J354" s="465">
        <v>65.728660000000005</v>
      </c>
      <c r="K354" s="465">
        <v>6560.5932000000003</v>
      </c>
      <c r="L354" s="464" t="s">
        <v>695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horné vedenie 1,7m oliva</v>
      </c>
      <c r="C355" s="185">
        <f t="shared" si="11"/>
        <v>17.69537</v>
      </c>
      <c r="D355" s="409" t="s">
        <v>2630</v>
      </c>
      <c r="E355" s="409" t="s">
        <v>4362</v>
      </c>
      <c r="F355" s="409" t="s">
        <v>4363</v>
      </c>
      <c r="G355" s="409" t="s">
        <v>2630</v>
      </c>
      <c r="H355" s="465">
        <v>492.14863000000003</v>
      </c>
      <c r="I355" s="465">
        <v>17.69537</v>
      </c>
      <c r="J355" s="465">
        <v>66.766980000000004</v>
      </c>
      <c r="K355" s="465">
        <v>7052.7216600000002</v>
      </c>
      <c r="L355" s="464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spojovacia lišta H10 Decor 3m oliva</v>
      </c>
      <c r="C356" s="185">
        <f t="shared" si="11"/>
        <v>16.784579999999998</v>
      </c>
      <c r="D356" s="409" t="s">
        <v>3140</v>
      </c>
      <c r="E356" s="409" t="s">
        <v>4364</v>
      </c>
      <c r="F356" s="409" t="s">
        <v>1101</v>
      </c>
      <c r="G356" s="409" t="s">
        <v>4365</v>
      </c>
      <c r="H356" s="465">
        <v>466.81745999999998</v>
      </c>
      <c r="I356" s="465">
        <v>16.784579999999998</v>
      </c>
      <c r="J356" s="465">
        <v>57.7179</v>
      </c>
      <c r="K356" s="465">
        <v>6689.71414</v>
      </c>
      <c r="L356" s="464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uholník 36x36mm 3m strieborná</v>
      </c>
      <c r="C357" s="185">
        <f t="shared" si="11"/>
        <v>14.234360000000001</v>
      </c>
      <c r="D357" s="409" t="s">
        <v>3300</v>
      </c>
      <c r="E357" s="409" t="s">
        <v>4366</v>
      </c>
      <c r="F357" s="409" t="s">
        <v>4367</v>
      </c>
      <c r="G357" s="409" t="s">
        <v>4368</v>
      </c>
      <c r="H357" s="465">
        <v>395.89015000000001</v>
      </c>
      <c r="I357" s="465">
        <v>14.234360000000001</v>
      </c>
      <c r="J357" s="465">
        <v>52.53</v>
      </c>
      <c r="K357" s="465">
        <v>5673.29241</v>
      </c>
      <c r="L357" s="464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zámok na posuvné dvere 18 mm (rovnaký kľúč)</v>
      </c>
      <c r="C358" s="185">
        <f t="shared" si="11"/>
        <v>15.847759999999999</v>
      </c>
      <c r="D358" s="409" t="s">
        <v>3429</v>
      </c>
      <c r="E358" s="409" t="s">
        <v>4369</v>
      </c>
      <c r="F358" s="409" t="s">
        <v>4370</v>
      </c>
      <c r="G358" s="409" t="s">
        <v>4371</v>
      </c>
      <c r="H358" s="465">
        <v>467.71562999999998</v>
      </c>
      <c r="I358" s="465">
        <v>15.847759999999999</v>
      </c>
      <c r="J358" s="465">
        <v>66.84</v>
      </c>
      <c r="K358" s="465">
        <v>6495.3400199999996</v>
      </c>
      <c r="L358" s="464" t="s">
        <v>539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str">
        <f t="shared" si="10"/>
        <v>SEVROLL Maxim spojovacia lišta H25 1,8m oliv</v>
      </c>
      <c r="C359" s="185" t="e">
        <f t="shared" si="11"/>
        <v>#N/A</v>
      </c>
      <c r="D359" s="409" t="s">
        <v>3179</v>
      </c>
      <c r="E359" s="409" t="s">
        <v>4372</v>
      </c>
      <c r="F359" s="409" t="s">
        <v>1124</v>
      </c>
      <c r="G359" s="409" t="s">
        <v>4373</v>
      </c>
      <c r="H359" s="465" t="e">
        <v>#N/A</v>
      </c>
      <c r="I359" s="465" t="e">
        <v>#N/A</v>
      </c>
      <c r="J359" s="465" t="e">
        <v>#N/A</v>
      </c>
      <c r="K359" s="465" t="e">
        <v>#N/A</v>
      </c>
      <c r="L359" s="464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profil "U" na DTD 36mm oliva 3m</v>
      </c>
      <c r="C360" s="185">
        <f t="shared" si="11"/>
        <v>16.888670000000001</v>
      </c>
      <c r="D360" s="409" t="s">
        <v>3295</v>
      </c>
      <c r="E360" s="409" t="s">
        <v>4374</v>
      </c>
      <c r="F360" s="409" t="s">
        <v>1107</v>
      </c>
      <c r="G360" s="409" t="s">
        <v>4375</v>
      </c>
      <c r="H360" s="465">
        <v>469.71244000000002</v>
      </c>
      <c r="I360" s="465">
        <v>16.888670000000001</v>
      </c>
      <c r="J360" s="465">
        <v>58.075839999999999</v>
      </c>
      <c r="K360" s="465">
        <v>6731.2005799999997</v>
      </c>
      <c r="L360" s="464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9" t="e">
        <v>#N/A</v>
      </c>
      <c r="E361" s="409" t="e">
        <v>#N/A</v>
      </c>
      <c r="F361" s="409" t="e">
        <v>#N/A</v>
      </c>
      <c r="G361" s="409" t="e">
        <v>#N/A</v>
      </c>
      <c r="H361" s="465" t="e">
        <v>#N/A</v>
      </c>
      <c r="I361" s="465" t="e">
        <v>#N/A</v>
      </c>
      <c r="J361" s="465" t="e">
        <v>#N/A</v>
      </c>
      <c r="K361" s="465" t="e">
        <v>#N/A</v>
      </c>
      <c r="L361" s="464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9" t="e">
        <v>#N/A</v>
      </c>
      <c r="E362" s="409" t="e">
        <v>#N/A</v>
      </c>
      <c r="F362" s="409" t="e">
        <v>#N/A</v>
      </c>
      <c r="G362" s="409" t="e">
        <v>#N/A</v>
      </c>
      <c r="H362" s="465" t="e">
        <v>#N/A</v>
      </c>
      <c r="I362" s="465" t="e">
        <v>#N/A</v>
      </c>
      <c r="J362" s="465" t="e">
        <v>#N/A</v>
      </c>
      <c r="K362" s="465" t="e">
        <v>#N/A</v>
      </c>
      <c r="L362" s="464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spodné vedenie 2,35m biela lesk</v>
      </c>
      <c r="C363" s="185">
        <f t="shared" si="11"/>
        <v>14.572660000000001</v>
      </c>
      <c r="D363" s="409" t="s">
        <v>3431</v>
      </c>
      <c r="E363" s="409" t="s">
        <v>4376</v>
      </c>
      <c r="F363" s="409" t="s">
        <v>4377</v>
      </c>
      <c r="G363" s="409" t="s">
        <v>4378</v>
      </c>
      <c r="H363" s="465">
        <v>404.57512000000003</v>
      </c>
      <c r="I363" s="465">
        <v>14.572660000000001</v>
      </c>
      <c r="J363" s="465">
        <v>57.9054</v>
      </c>
      <c r="K363" s="465">
        <v>5797.7521299999999</v>
      </c>
      <c r="L363" s="464" t="s">
        <v>539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horné vedenie 1,7m strieborná</v>
      </c>
      <c r="C364" s="185">
        <f t="shared" si="11"/>
        <v>14.962999999999999</v>
      </c>
      <c r="D364" s="409" t="s">
        <v>2726</v>
      </c>
      <c r="E364" s="409" t="s">
        <v>4379</v>
      </c>
      <c r="F364" s="409" t="s">
        <v>4380</v>
      </c>
      <c r="G364" s="409" t="s">
        <v>2726</v>
      </c>
      <c r="H364" s="465">
        <v>396.69461000000001</v>
      </c>
      <c r="I364" s="465">
        <v>14.962999999999999</v>
      </c>
      <c r="J364" s="465">
        <v>51.049550000000004</v>
      </c>
      <c r="K364" s="465">
        <v>5794.68696</v>
      </c>
      <c r="L364" s="464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Minicomfort II úch.lišta 2,7m str.</v>
      </c>
      <c r="C365" s="185">
        <f t="shared" si="11"/>
        <v>16.550370000000001</v>
      </c>
      <c r="D365" s="409" t="s">
        <v>2868</v>
      </c>
      <c r="E365" s="409" t="s">
        <v>4381</v>
      </c>
      <c r="F365" s="409" t="s">
        <v>1223</v>
      </c>
      <c r="G365" s="409" t="s">
        <v>4382</v>
      </c>
      <c r="H365" s="465">
        <v>460.30372999999997</v>
      </c>
      <c r="I365" s="465">
        <v>16.550370000000001</v>
      </c>
      <c r="J365" s="465">
        <v>64.535399999999996</v>
      </c>
      <c r="K365" s="465">
        <v>6596.3692499999997</v>
      </c>
      <c r="L365" s="464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Oaza II úch.lišta 2,7m strieborná</v>
      </c>
      <c r="C366" s="185">
        <f t="shared" si="11"/>
        <v>15.17118</v>
      </c>
      <c r="D366" s="409" t="s">
        <v>3186</v>
      </c>
      <c r="E366" s="409" t="s">
        <v>4383</v>
      </c>
      <c r="F366" s="409" t="s">
        <v>1221</v>
      </c>
      <c r="G366" s="409" t="s">
        <v>4384</v>
      </c>
      <c r="H366" s="465">
        <v>416.53017999999997</v>
      </c>
      <c r="I366" s="465">
        <v>15.17118</v>
      </c>
      <c r="J366" s="465">
        <v>64.823660000000004</v>
      </c>
      <c r="K366" s="465">
        <v>5782.5401700000002</v>
      </c>
      <c r="L366" s="464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str">
        <f t="shared" si="10"/>
        <v>SEVROLL Oaza II úchytová lišta 2,7m zlatá</v>
      </c>
      <c r="C367" s="185" t="e">
        <f t="shared" si="11"/>
        <v>#N/A</v>
      </c>
      <c r="D367" s="409" t="s">
        <v>3188</v>
      </c>
      <c r="E367" s="409" t="s">
        <v>4385</v>
      </c>
      <c r="F367" s="409" t="s">
        <v>1122</v>
      </c>
      <c r="G367" s="409" t="s">
        <v>4386</v>
      </c>
      <c r="H367" s="465" t="e">
        <v>#N/A</v>
      </c>
      <c r="I367" s="465" t="e">
        <v>#N/A</v>
      </c>
      <c r="J367" s="465" t="e">
        <v>#N/A</v>
      </c>
      <c r="K367" s="465" t="e">
        <v>#N/A</v>
      </c>
      <c r="L367" s="464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spodná krycia lišta Simple/Blue 2,5m (pre lamino 10mm) strieborná</v>
      </c>
      <c r="C368" s="185">
        <f t="shared" si="11"/>
        <v>16.39424</v>
      </c>
      <c r="D368" s="409" t="s">
        <v>3120</v>
      </c>
      <c r="E368" s="409" t="s">
        <v>4387</v>
      </c>
      <c r="F368" s="409" t="s">
        <v>4388</v>
      </c>
      <c r="G368" s="409" t="s">
        <v>4389</v>
      </c>
      <c r="H368" s="465">
        <v>451.04077999999998</v>
      </c>
      <c r="I368" s="465">
        <v>16.39424</v>
      </c>
      <c r="J368" s="465">
        <v>57.107480000000002</v>
      </c>
      <c r="K368" s="465">
        <v>6666.4092099999998</v>
      </c>
      <c r="L368" s="464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Universal 16 úchytová lišta 2,7m str</v>
      </c>
      <c r="C369" s="185">
        <f t="shared" si="11"/>
        <v>15.977880000000001</v>
      </c>
      <c r="D369" s="409" t="s">
        <v>3151</v>
      </c>
      <c r="E369" s="409" t="s">
        <v>4390</v>
      </c>
      <c r="F369" s="409" t="s">
        <v>1089</v>
      </c>
      <c r="G369" s="409" t="s">
        <v>4391</v>
      </c>
      <c r="H369" s="465">
        <v>444.38125000000002</v>
      </c>
      <c r="I369" s="465">
        <v>15.977880000000001</v>
      </c>
      <c r="J369" s="465">
        <v>55.712400000000002</v>
      </c>
      <c r="K369" s="465">
        <v>6368.1926599999997</v>
      </c>
      <c r="L369" s="464" t="s">
        <v>539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Elegant II spodné vedenie 3m zlatá</v>
      </c>
      <c r="C370" s="185">
        <f t="shared" si="11"/>
        <v>18.345929999999999</v>
      </c>
      <c r="D370" s="409" t="s">
        <v>2742</v>
      </c>
      <c r="E370" s="409" t="s">
        <v>4392</v>
      </c>
      <c r="F370" s="409" t="s">
        <v>4393</v>
      </c>
      <c r="G370" s="409" t="s">
        <v>4394</v>
      </c>
      <c r="H370" s="465">
        <v>510.24234000000001</v>
      </c>
      <c r="I370" s="465">
        <v>18.345929999999999</v>
      </c>
      <c r="J370" s="465">
        <v>68.931600000000003</v>
      </c>
      <c r="K370" s="465">
        <v>7312.0131000000001</v>
      </c>
      <c r="L370" s="464" t="s">
        <v>538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9" t="e">
        <v>#N/A</v>
      </c>
      <c r="E371" s="409" t="e">
        <v>#N/A</v>
      </c>
      <c r="F371" s="409" t="e">
        <v>#N/A</v>
      </c>
      <c r="G371" s="409" t="e">
        <v>#N/A</v>
      </c>
      <c r="H371" s="465" t="e">
        <v>#N/A</v>
      </c>
      <c r="I371" s="465" t="e">
        <v>#N/A</v>
      </c>
      <c r="J371" s="465" t="e">
        <v>#N/A</v>
      </c>
      <c r="K371" s="465" t="e">
        <v>#N/A</v>
      </c>
      <c r="L371" s="464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Simple horné vedenie 2,5m strieborná</v>
      </c>
      <c r="C372" s="185">
        <f t="shared" si="11"/>
        <v>17.903549999999999</v>
      </c>
      <c r="D372" s="409" t="s">
        <v>3084</v>
      </c>
      <c r="E372" s="409" t="s">
        <v>4395</v>
      </c>
      <c r="F372" s="409" t="s">
        <v>4396</v>
      </c>
      <c r="G372" s="409" t="s">
        <v>4397</v>
      </c>
      <c r="H372" s="465">
        <v>492.56518</v>
      </c>
      <c r="I372" s="465">
        <v>17.903549999999999</v>
      </c>
      <c r="J372" s="465">
        <v>65.697199999999995</v>
      </c>
      <c r="K372" s="465">
        <v>7280.14221</v>
      </c>
      <c r="L372" s="464" t="s">
        <v>539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úchytová lišta 2,7m oliva</v>
      </c>
      <c r="C373" s="185">
        <f t="shared" si="11"/>
        <v>20.792059999999999</v>
      </c>
      <c r="D373" s="409" t="s">
        <v>2780</v>
      </c>
      <c r="E373" s="409" t="s">
        <v>4398</v>
      </c>
      <c r="F373" s="409" t="s">
        <v>2780</v>
      </c>
      <c r="G373" s="409" t="s">
        <v>4399</v>
      </c>
      <c r="H373" s="465">
        <v>578.27463999999998</v>
      </c>
      <c r="I373" s="465">
        <v>20.792059999999999</v>
      </c>
      <c r="J373" s="465">
        <v>71.498620000000003</v>
      </c>
      <c r="K373" s="465">
        <v>8286.9480100000001</v>
      </c>
      <c r="L373" s="464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Fox úchytová lišta 2,7m zlatá</v>
      </c>
      <c r="C374" s="185">
        <f t="shared" si="11"/>
        <v>20.792059999999999</v>
      </c>
      <c r="D374" s="409" t="s">
        <v>2781</v>
      </c>
      <c r="E374" s="409" t="s">
        <v>4400</v>
      </c>
      <c r="F374" s="409" t="s">
        <v>4401</v>
      </c>
      <c r="G374" s="409" t="s">
        <v>4402</v>
      </c>
      <c r="H374" s="465">
        <v>578.27463999999998</v>
      </c>
      <c r="I374" s="465">
        <v>20.792059999999999</v>
      </c>
      <c r="J374" s="465">
        <v>71.498620000000003</v>
      </c>
      <c r="K374" s="465">
        <v>8286.9480100000001</v>
      </c>
      <c r="L374" s="464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spodné vedenie  3m oliva</v>
      </c>
      <c r="C375" s="185">
        <f t="shared" si="11"/>
        <v>18.345929999999999</v>
      </c>
      <c r="D375" s="409" t="s">
        <v>2743</v>
      </c>
      <c r="E375" s="409" t="s">
        <v>4403</v>
      </c>
      <c r="F375" s="409" t="s">
        <v>4404</v>
      </c>
      <c r="G375" s="409" t="s">
        <v>4405</v>
      </c>
      <c r="H375" s="465">
        <v>510.24234000000001</v>
      </c>
      <c r="I375" s="465">
        <v>18.345929999999999</v>
      </c>
      <c r="J375" s="465">
        <v>68.931600000000003</v>
      </c>
      <c r="K375" s="465">
        <v>7312.0131000000001</v>
      </c>
      <c r="L375" s="464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str">
        <f t="shared" si="10"/>
        <v>SEVROLL Maxim II spodné vedenie 2,5m str.</v>
      </c>
      <c r="C376" s="185" t="e">
        <f t="shared" si="11"/>
        <v>#N/A</v>
      </c>
      <c r="D376" s="409" t="s">
        <v>2915</v>
      </c>
      <c r="E376" s="409" t="s">
        <v>4406</v>
      </c>
      <c r="F376" s="409" t="s">
        <v>1229</v>
      </c>
      <c r="G376" s="409" t="s">
        <v>4407</v>
      </c>
      <c r="H376" s="465" t="e">
        <v>#N/A</v>
      </c>
      <c r="I376" s="465" t="e">
        <v>#N/A</v>
      </c>
      <c r="J376" s="465" t="e">
        <v>#N/A</v>
      </c>
      <c r="K376" s="465" t="e">
        <v>#N/A</v>
      </c>
      <c r="L376" s="464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horné vedenie 1,7m oliva</v>
      </c>
      <c r="C377" s="185">
        <f t="shared" si="11"/>
        <v>18.24184</v>
      </c>
      <c r="D377" s="409" t="s">
        <v>2725</v>
      </c>
      <c r="E377" s="409" t="s">
        <v>4408</v>
      </c>
      <c r="F377" s="409" t="s">
        <v>4409</v>
      </c>
      <c r="G377" s="409" t="s">
        <v>4410</v>
      </c>
      <c r="H377" s="465">
        <v>483.62245999999999</v>
      </c>
      <c r="I377" s="465">
        <v>18.24184</v>
      </c>
      <c r="J377" s="465">
        <v>62.236049999999999</v>
      </c>
      <c r="K377" s="465">
        <v>7064.4789600000004</v>
      </c>
      <c r="L377" s="464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horné vedenie  2m oliva</v>
      </c>
      <c r="C378" s="185">
        <f t="shared" si="11"/>
        <v>18.866389999999999</v>
      </c>
      <c r="D378" s="409" t="s">
        <v>3392</v>
      </c>
      <c r="E378" s="409" t="s">
        <v>4411</v>
      </c>
      <c r="F378" s="409" t="s">
        <v>4412</v>
      </c>
      <c r="G378" s="409" t="s">
        <v>4413</v>
      </c>
      <c r="H378" s="465">
        <v>519.05488000000003</v>
      </c>
      <c r="I378" s="465">
        <v>18.866389999999999</v>
      </c>
      <c r="J378" s="465">
        <v>63.289290000000001</v>
      </c>
      <c r="K378" s="465">
        <v>7671.6616000000004</v>
      </c>
      <c r="L378" s="464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maska 6m strieborná</v>
      </c>
      <c r="C379" s="185">
        <f t="shared" si="11"/>
        <v>16.550370000000001</v>
      </c>
      <c r="D379" s="409" t="s">
        <v>2896</v>
      </c>
      <c r="E379" s="409" t="s">
        <v>4414</v>
      </c>
      <c r="F379" s="409" t="s">
        <v>4415</v>
      </c>
      <c r="G379" s="409" t="s">
        <v>4416</v>
      </c>
      <c r="H379" s="465">
        <v>460.30372999999997</v>
      </c>
      <c r="I379" s="465">
        <v>16.550370000000001</v>
      </c>
      <c r="J379" s="465">
        <v>57.7014</v>
      </c>
      <c r="K379" s="465">
        <v>6596.3692499999997</v>
      </c>
      <c r="L379" s="464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úchytová lišta 18mm 2,7m strieborná</v>
      </c>
      <c r="C380" s="185">
        <f t="shared" si="11"/>
        <v>16.498329999999999</v>
      </c>
      <c r="D380" s="409" t="s">
        <v>2865</v>
      </c>
      <c r="E380" s="409" t="s">
        <v>4417</v>
      </c>
      <c r="F380" s="409" t="s">
        <v>4418</v>
      </c>
      <c r="G380" s="409" t="s">
        <v>4419</v>
      </c>
      <c r="H380" s="465">
        <v>458.85620999999998</v>
      </c>
      <c r="I380" s="465">
        <v>16.498329999999999</v>
      </c>
      <c r="J380" s="465">
        <v>58.884599999999999</v>
      </c>
      <c r="K380" s="465">
        <v>6575.6256299999995</v>
      </c>
      <c r="L380" s="464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spodné vedenie  4m oliva</v>
      </c>
      <c r="C381" s="185">
        <f t="shared" si="11"/>
        <v>20.16752</v>
      </c>
      <c r="D381" s="409" t="s">
        <v>3408</v>
      </c>
      <c r="E381" s="409" t="s">
        <v>4420</v>
      </c>
      <c r="F381" s="409" t="s">
        <v>4421</v>
      </c>
      <c r="G381" s="409" t="s">
        <v>4422</v>
      </c>
      <c r="H381" s="465">
        <v>554.85176999999999</v>
      </c>
      <c r="I381" s="465">
        <v>20.16752</v>
      </c>
      <c r="J381" s="465">
        <v>73.594700000000003</v>
      </c>
      <c r="K381" s="465">
        <v>8200.7417000000005</v>
      </c>
      <c r="L381" s="464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úchytová lišta 2,7m biela mat</v>
      </c>
      <c r="C382" s="185">
        <f t="shared" si="11"/>
        <v>16.368220000000001</v>
      </c>
      <c r="D382" s="409" t="s">
        <v>3216</v>
      </c>
      <c r="E382" s="409" t="s">
        <v>4423</v>
      </c>
      <c r="F382" s="409" t="s">
        <v>4424</v>
      </c>
      <c r="G382" s="409" t="s">
        <v>4425</v>
      </c>
      <c r="H382" s="465">
        <v>455.23748000000001</v>
      </c>
      <c r="I382" s="465">
        <v>16.368220000000001</v>
      </c>
      <c r="J382" s="465">
        <v>60.088200000000001</v>
      </c>
      <c r="K382" s="465">
        <v>6523.7675799999997</v>
      </c>
      <c r="L382" s="464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úchytová lišta 2,7m oliva</v>
      </c>
      <c r="C383" s="185">
        <f t="shared" si="11"/>
        <v>19.855239999999998</v>
      </c>
      <c r="D383" s="409" t="s">
        <v>2869</v>
      </c>
      <c r="E383" s="409" t="s">
        <v>4426</v>
      </c>
      <c r="F383" s="409" t="s">
        <v>2869</v>
      </c>
      <c r="G383" s="409" t="s">
        <v>4427</v>
      </c>
      <c r="H383" s="465">
        <v>552.21969999999999</v>
      </c>
      <c r="I383" s="465">
        <v>19.855239999999998</v>
      </c>
      <c r="J383" s="465">
        <v>71.002200000000002</v>
      </c>
      <c r="K383" s="465">
        <v>7913.5684600000004</v>
      </c>
      <c r="L383" s="464" t="s">
        <v>539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Julia II úch.lišta 2,7m strieborná</v>
      </c>
      <c r="C384" s="185">
        <f t="shared" si="11"/>
        <v>17.435140000000001</v>
      </c>
      <c r="D384" s="409" t="s">
        <v>2856</v>
      </c>
      <c r="E384" s="409" t="s">
        <v>4428</v>
      </c>
      <c r="F384" s="409" t="s">
        <v>1235</v>
      </c>
      <c r="G384" s="409" t="s">
        <v>4429</v>
      </c>
      <c r="H384" s="465">
        <v>484.91115000000002</v>
      </c>
      <c r="I384" s="465">
        <v>17.435140000000001</v>
      </c>
      <c r="J384" s="465">
        <v>65.637</v>
      </c>
      <c r="K384" s="465">
        <v>6949.0051800000001</v>
      </c>
      <c r="L384" s="464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ROMEO II ÚCH.LIŠTA 2,7 M STR.</v>
      </c>
      <c r="C385" s="185">
        <f t="shared" si="11"/>
        <v>17.435140000000001</v>
      </c>
      <c r="D385" s="409" t="s">
        <v>2859</v>
      </c>
      <c r="E385" s="409" t="s">
        <v>4430</v>
      </c>
      <c r="F385" s="409" t="s">
        <v>2178</v>
      </c>
      <c r="G385" s="409" t="s">
        <v>4431</v>
      </c>
      <c r="H385" s="465">
        <v>484.91115000000002</v>
      </c>
      <c r="I385" s="465">
        <v>17.435140000000001</v>
      </c>
      <c r="J385" s="465">
        <v>65.637</v>
      </c>
      <c r="K385" s="465">
        <v>6949.0051800000001</v>
      </c>
      <c r="L385" s="464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Oaza II úch. Lišta 2,7m oliva</v>
      </c>
      <c r="C386" s="185">
        <f t="shared" si="11"/>
        <v>16.862639999999999</v>
      </c>
      <c r="D386" s="409" t="s">
        <v>3187</v>
      </c>
      <c r="E386" s="409" t="s">
        <v>4432</v>
      </c>
      <c r="F386" s="409" t="s">
        <v>1222</v>
      </c>
      <c r="G386" s="409" t="s">
        <v>4433</v>
      </c>
      <c r="H386" s="465">
        <v>468.98869999999999</v>
      </c>
      <c r="I386" s="465">
        <v>16.862639999999999</v>
      </c>
      <c r="J386" s="465">
        <v>72.050979999999996</v>
      </c>
      <c r="K386" s="465">
        <v>6720.8289699999996</v>
      </c>
      <c r="L386" s="464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uholník 02462 36x36mm 3m oliva</v>
      </c>
      <c r="C387" s="185">
        <f t="shared" si="11"/>
        <v>17.79946</v>
      </c>
      <c r="D387" s="409" t="s">
        <v>3299</v>
      </c>
      <c r="E387" s="409" t="s">
        <v>4434</v>
      </c>
      <c r="F387" s="409" t="s">
        <v>4435</v>
      </c>
      <c r="G387" s="409" t="s">
        <v>4436</v>
      </c>
      <c r="H387" s="465">
        <v>495.04361</v>
      </c>
      <c r="I387" s="465">
        <v>17.79946</v>
      </c>
      <c r="J387" s="465">
        <v>61.207819999999998</v>
      </c>
      <c r="K387" s="465">
        <v>7094.2080999999998</v>
      </c>
      <c r="L387" s="464" t="s">
        <v>539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zámok na posuvné dvere 10/18mm</v>
      </c>
      <c r="C388" s="185">
        <f t="shared" ref="C388:C451" si="13">IF($A$2=1,H388,IF($A$2=2,I388,IF($A$2=3,J388,IF($A$2=4,K388,IF($A$2&gt;4,O388,"zadat jazyk")))))</f>
        <v>15.855560000000001</v>
      </c>
      <c r="D388" s="409" t="s">
        <v>3018</v>
      </c>
      <c r="E388" s="409" t="s">
        <v>4437</v>
      </c>
      <c r="F388" s="409" t="s">
        <v>4438</v>
      </c>
      <c r="G388" s="409" t="s">
        <v>4439</v>
      </c>
      <c r="H388" s="465">
        <v>467.71562999999998</v>
      </c>
      <c r="I388" s="465">
        <v>15.855560000000001</v>
      </c>
      <c r="J388" s="465">
        <v>66.840599999999995</v>
      </c>
      <c r="K388" s="465">
        <v>6495.3400199999996</v>
      </c>
      <c r="L388" s="464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str">
        <f t="shared" si="12"/>
        <v>SEVROLL 02891 Maxim II maska 6m strieborná</v>
      </c>
      <c r="C389" s="185" t="e">
        <f t="shared" si="13"/>
        <v>#N/A</v>
      </c>
      <c r="D389" s="409" t="s">
        <v>2919</v>
      </c>
      <c r="E389" s="409" t="s">
        <v>4440</v>
      </c>
      <c r="F389" s="409" t="s">
        <v>4441</v>
      </c>
      <c r="G389" s="409" t="s">
        <v>4442</v>
      </c>
      <c r="H389" s="465" t="e">
        <v>#N/A</v>
      </c>
      <c r="I389" s="465" t="e">
        <v>#N/A</v>
      </c>
      <c r="J389" s="465" t="e">
        <v>#N/A</v>
      </c>
      <c r="K389" s="465" t="e">
        <v>#N/A</v>
      </c>
      <c r="L389" s="464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úchytová lišta 2,7m strieborná</v>
      </c>
      <c r="C390" s="185">
        <f t="shared" si="13"/>
        <v>16.810600000000001</v>
      </c>
      <c r="D390" s="409" t="s">
        <v>2627</v>
      </c>
      <c r="E390" s="409" t="s">
        <v>4443</v>
      </c>
      <c r="F390" s="409" t="s">
        <v>4444</v>
      </c>
      <c r="G390" s="409" t="s">
        <v>4445</v>
      </c>
      <c r="H390" s="465">
        <v>467.54120999999998</v>
      </c>
      <c r="I390" s="465">
        <v>16.810600000000001</v>
      </c>
      <c r="J390" s="465">
        <v>57.807389999999998</v>
      </c>
      <c r="K390" s="465">
        <v>6700.0857400000004</v>
      </c>
      <c r="L390" s="464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spodné vedenie 6m strieborná</v>
      </c>
      <c r="C391" s="185">
        <f t="shared" si="13"/>
        <v>20.34967</v>
      </c>
      <c r="D391" s="409" t="s">
        <v>3422</v>
      </c>
      <c r="E391" s="409" t="s">
        <v>4446</v>
      </c>
      <c r="F391" s="409" t="s">
        <v>4447</v>
      </c>
      <c r="G391" s="409" t="s">
        <v>4448</v>
      </c>
      <c r="H391" s="465">
        <v>559.86332000000004</v>
      </c>
      <c r="I391" s="465">
        <v>20.34967</v>
      </c>
      <c r="J391" s="465">
        <v>82.766509999999997</v>
      </c>
      <c r="K391" s="465">
        <v>8274.8126400000001</v>
      </c>
      <c r="L391" s="464" t="s">
        <v>539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horné vedenie 2,35m strieborná</v>
      </c>
      <c r="C392" s="185">
        <f t="shared" si="13"/>
        <v>19.54297</v>
      </c>
      <c r="D392" s="409" t="s">
        <v>2634</v>
      </c>
      <c r="E392" s="409" t="s">
        <v>4449</v>
      </c>
      <c r="F392" s="409" t="s">
        <v>4450</v>
      </c>
      <c r="G392" s="409" t="s">
        <v>2634</v>
      </c>
      <c r="H392" s="465">
        <v>543.53472999999997</v>
      </c>
      <c r="I392" s="465">
        <v>19.54297</v>
      </c>
      <c r="J392" s="465">
        <v>72.115889999999993</v>
      </c>
      <c r="K392" s="465">
        <v>7789.1087399999997</v>
      </c>
      <c r="L392" s="464" t="s">
        <v>695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str">
        <f t="shared" si="12"/>
        <v>SEVROLL Viktoria II úch.list.18mm 2,7m zlatá</v>
      </c>
      <c r="C393" s="185" t="e">
        <f t="shared" si="13"/>
        <v>#N/A</v>
      </c>
      <c r="D393" s="409" t="s">
        <v>2867</v>
      </c>
      <c r="E393" s="409" t="s">
        <v>4451</v>
      </c>
      <c r="F393" s="409" t="s">
        <v>1044</v>
      </c>
      <c r="G393" s="409" t="s">
        <v>4452</v>
      </c>
      <c r="H393" s="465" t="e">
        <v>#N/A</v>
      </c>
      <c r="I393" s="465" t="e">
        <v>#N/A</v>
      </c>
      <c r="J393" s="465" t="e">
        <v>#N/A</v>
      </c>
      <c r="K393" s="465" t="e">
        <v>#N/A</v>
      </c>
      <c r="L393" s="464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spodné vedenie  3m oliva</v>
      </c>
      <c r="C394" s="185">
        <f t="shared" si="13"/>
        <v>18.892410000000002</v>
      </c>
      <c r="D394" s="409" t="s">
        <v>3309</v>
      </c>
      <c r="E394" s="409" t="s">
        <v>4453</v>
      </c>
      <c r="F394" s="409" t="s">
        <v>4454</v>
      </c>
      <c r="G394" s="409" t="s">
        <v>4455</v>
      </c>
      <c r="H394" s="465">
        <v>525.44104000000004</v>
      </c>
      <c r="I394" s="465">
        <v>18.892410000000002</v>
      </c>
      <c r="J394" s="465">
        <v>64.966210000000004</v>
      </c>
      <c r="K394" s="465">
        <v>7529.8176999999996</v>
      </c>
      <c r="L394" s="464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úchytová lišta 2,7m biela lesk</v>
      </c>
      <c r="C395" s="185">
        <f t="shared" si="13"/>
        <v>16.368220000000001</v>
      </c>
      <c r="D395" s="409" t="s">
        <v>3196</v>
      </c>
      <c r="E395" s="409" t="s">
        <v>4456</v>
      </c>
      <c r="F395" s="409" t="s">
        <v>4457</v>
      </c>
      <c r="G395" s="409" t="s">
        <v>4458</v>
      </c>
      <c r="H395" s="465">
        <v>455.23748000000001</v>
      </c>
      <c r="I395" s="465">
        <v>16.368220000000001</v>
      </c>
      <c r="J395" s="465">
        <v>60.088200000000001</v>
      </c>
      <c r="K395" s="465">
        <v>6523.7675799999997</v>
      </c>
      <c r="L395" s="464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str">
        <f t="shared" si="12"/>
        <v>SEVROLL Julia II úch.lišta 2,7m zlatá</v>
      </c>
      <c r="C396" s="185" t="e">
        <f t="shared" si="13"/>
        <v>#N/A</v>
      </c>
      <c r="D396" s="409" t="s">
        <v>2857</v>
      </c>
      <c r="E396" s="409" t="s">
        <v>4459</v>
      </c>
      <c r="F396" s="409" t="s">
        <v>1145</v>
      </c>
      <c r="G396" s="409" t="s">
        <v>4460</v>
      </c>
      <c r="H396" s="465" t="e">
        <v>#N/A</v>
      </c>
      <c r="I396" s="465" t="e">
        <v>#N/A</v>
      </c>
      <c r="J396" s="465" t="e">
        <v>#N/A</v>
      </c>
      <c r="K396" s="465" t="e">
        <v>#N/A</v>
      </c>
      <c r="L396" s="464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str">
        <f t="shared" si="12"/>
        <v>SEVROLL Romeo II úchytová lišta 2,7m zlatá</v>
      </c>
      <c r="C397" s="185" t="e">
        <f t="shared" si="13"/>
        <v>#N/A</v>
      </c>
      <c r="D397" s="409" t="s">
        <v>2860</v>
      </c>
      <c r="E397" s="409" t="s">
        <v>4461</v>
      </c>
      <c r="F397" s="409" t="s">
        <v>1104</v>
      </c>
      <c r="G397" s="409" t="s">
        <v>4462</v>
      </c>
      <c r="H397" s="465" t="e">
        <v>#N/A</v>
      </c>
      <c r="I397" s="465" t="e">
        <v>#N/A</v>
      </c>
      <c r="J397" s="465" t="e">
        <v>#N/A</v>
      </c>
      <c r="K397" s="465" t="e">
        <v>#N/A</v>
      </c>
      <c r="L397" s="464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str">
        <f t="shared" si="12"/>
        <v>SEVROLL 50244 Ursus horné vedenie 1,8m surová</v>
      </c>
      <c r="C398" s="185" t="e">
        <f t="shared" si="13"/>
        <v>#N/A</v>
      </c>
      <c r="D398" s="409" t="s">
        <v>2840</v>
      </c>
      <c r="E398" s="409" t="s">
        <v>4463</v>
      </c>
      <c r="F398" s="409" t="s">
        <v>4464</v>
      </c>
      <c r="G398" s="409" t="s">
        <v>4465</v>
      </c>
      <c r="H398" s="465" t="e">
        <v>#N/A</v>
      </c>
      <c r="I398" s="465" t="e">
        <v>#N/A</v>
      </c>
      <c r="J398" s="465" t="e">
        <v>#N/A</v>
      </c>
      <c r="K398" s="465" t="e">
        <v>#N/A</v>
      </c>
      <c r="L398" s="464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horné vedenie 2,5m strieborná</v>
      </c>
      <c r="C399" s="185">
        <f t="shared" si="13"/>
        <v>18.866389999999999</v>
      </c>
      <c r="D399" s="409" t="s">
        <v>3393</v>
      </c>
      <c r="E399" s="409" t="s">
        <v>4466</v>
      </c>
      <c r="F399" s="409" t="s">
        <v>4467</v>
      </c>
      <c r="G399" s="409" t="s">
        <v>4468</v>
      </c>
      <c r="H399" s="465">
        <v>519.05488000000003</v>
      </c>
      <c r="I399" s="465">
        <v>18.866389999999999</v>
      </c>
      <c r="J399" s="465">
        <v>67.065889999999996</v>
      </c>
      <c r="K399" s="465">
        <v>7671.6616000000004</v>
      </c>
      <c r="L399" s="464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9" t="e">
        <v>#N/A</v>
      </c>
      <c r="E400" s="409" t="e">
        <v>#N/A</v>
      </c>
      <c r="F400" s="409" t="e">
        <v>#N/A</v>
      </c>
      <c r="G400" s="409" t="e">
        <v>#N/A</v>
      </c>
      <c r="H400" s="465" t="e">
        <v>#N/A</v>
      </c>
      <c r="I400" s="465" t="e">
        <v>#N/A</v>
      </c>
      <c r="J400" s="465" t="e">
        <v>#N/A</v>
      </c>
      <c r="K400" s="465" t="e">
        <v>#N/A</v>
      </c>
      <c r="L400" s="464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SEVROLL02676 Hide M dolné vedenie 6m strieborná</v>
      </c>
      <c r="C401" s="185">
        <f t="shared" si="13"/>
        <v>17.53923</v>
      </c>
      <c r="D401" s="409" t="s">
        <v>3314</v>
      </c>
      <c r="E401" s="409" t="s">
        <v>4469</v>
      </c>
      <c r="F401" s="409" t="s">
        <v>4470</v>
      </c>
      <c r="G401" s="409" t="s">
        <v>4471</v>
      </c>
      <c r="H401" s="465">
        <v>464.99504999999999</v>
      </c>
      <c r="I401" s="465">
        <v>17.53923</v>
      </c>
      <c r="J401" s="465">
        <v>59.838949999999997</v>
      </c>
      <c r="K401" s="465">
        <v>6792.3805199999997</v>
      </c>
      <c r="L401" s="464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str">
        <f t="shared" si="12"/>
        <v>SEVROLL Maxim II spodné vedenie 2,5m oliva</v>
      </c>
      <c r="C402" s="185" t="e">
        <f t="shared" si="13"/>
        <v>#N/A</v>
      </c>
      <c r="D402" s="409" t="s">
        <v>3268</v>
      </c>
      <c r="E402" s="409" t="s">
        <v>4472</v>
      </c>
      <c r="F402" s="409" t="s">
        <v>1129</v>
      </c>
      <c r="G402" s="409" t="s">
        <v>4473</v>
      </c>
      <c r="H402" s="465" t="e">
        <v>#N/A</v>
      </c>
      <c r="I402" s="465" t="e">
        <v>#N/A</v>
      </c>
      <c r="J402" s="465" t="e">
        <v>#N/A</v>
      </c>
      <c r="K402" s="465" t="e">
        <v>#N/A</v>
      </c>
      <c r="L402" s="464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úchytová lišta 18mm 2,7m biela lesk</v>
      </c>
      <c r="C403" s="185">
        <f t="shared" si="13"/>
        <v>16.446280000000002</v>
      </c>
      <c r="D403" s="409" t="s">
        <v>3211</v>
      </c>
      <c r="E403" s="409" t="s">
        <v>4474</v>
      </c>
      <c r="F403" s="409" t="s">
        <v>4475</v>
      </c>
      <c r="G403" s="409" t="s">
        <v>4476</v>
      </c>
      <c r="H403" s="465">
        <v>457.40872000000002</v>
      </c>
      <c r="I403" s="465">
        <v>16.446280000000002</v>
      </c>
      <c r="J403" s="465">
        <v>66.463200000000001</v>
      </c>
      <c r="K403" s="465">
        <v>6554.8824199999999</v>
      </c>
      <c r="L403" s="464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Line spodné vedenie 2m alu surová</v>
      </c>
      <c r="C404" s="185">
        <f t="shared" si="13"/>
        <v>17.851500000000001</v>
      </c>
      <c r="D404" s="409" t="s">
        <v>2994</v>
      </c>
      <c r="E404" s="409" t="s">
        <v>4477</v>
      </c>
      <c r="F404" s="409" t="s">
        <v>1138</v>
      </c>
      <c r="G404" s="409" t="s">
        <v>4478</v>
      </c>
      <c r="H404" s="465">
        <v>496.49113</v>
      </c>
      <c r="I404" s="465">
        <v>17.851500000000001</v>
      </c>
      <c r="J404" s="465">
        <v>62.423999999999999</v>
      </c>
      <c r="K404" s="465">
        <v>7114.9517299999998</v>
      </c>
      <c r="L404" s="464" t="s">
        <v>539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úchytová lišta 18mm 2,7m oliva</v>
      </c>
      <c r="C405" s="185">
        <f t="shared" si="13"/>
        <v>20.635919999999999</v>
      </c>
      <c r="D405" s="409" t="s">
        <v>2866</v>
      </c>
      <c r="E405" s="409" t="s">
        <v>4479</v>
      </c>
      <c r="F405" s="409" t="s">
        <v>2866</v>
      </c>
      <c r="G405" s="409" t="s">
        <v>4480</v>
      </c>
      <c r="H405" s="465">
        <v>573.93214</v>
      </c>
      <c r="I405" s="465">
        <v>20.635919999999999</v>
      </c>
      <c r="J405" s="465">
        <v>70.961690000000004</v>
      </c>
      <c r="K405" s="465">
        <v>8224.7179400000005</v>
      </c>
      <c r="L405" s="464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maska 6m oliva</v>
      </c>
      <c r="C406" s="185">
        <f t="shared" si="13"/>
        <v>20.141490000000001</v>
      </c>
      <c r="D406" s="409" t="s">
        <v>2901</v>
      </c>
      <c r="E406" s="409" t="s">
        <v>4481</v>
      </c>
      <c r="F406" s="409" t="s">
        <v>2901</v>
      </c>
      <c r="G406" s="409" t="s">
        <v>4482</v>
      </c>
      <c r="H406" s="465">
        <v>560.18092999999999</v>
      </c>
      <c r="I406" s="465">
        <v>20.141490000000001</v>
      </c>
      <c r="J406" s="465">
        <v>69.261480000000006</v>
      </c>
      <c r="K406" s="465">
        <v>8027.6565700000001</v>
      </c>
      <c r="L406" s="464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Julia II úch.lišta 2,7m oliva</v>
      </c>
      <c r="C407" s="185">
        <f t="shared" si="13"/>
        <v>21.780919999999998</v>
      </c>
      <c r="D407" s="409" t="s">
        <v>2855</v>
      </c>
      <c r="E407" s="409" t="s">
        <v>4483</v>
      </c>
      <c r="F407" s="409" t="s">
        <v>1236</v>
      </c>
      <c r="G407" s="409" t="s">
        <v>4484</v>
      </c>
      <c r="H407" s="465">
        <v>605.77706999999998</v>
      </c>
      <c r="I407" s="465">
        <v>21.780919999999998</v>
      </c>
      <c r="J407" s="465">
        <v>74.899050000000003</v>
      </c>
      <c r="K407" s="465">
        <v>8681.0707700000003</v>
      </c>
      <c r="L407" s="464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Romeo II úch.lišta 2,7m oliva</v>
      </c>
      <c r="C408" s="185">
        <f t="shared" si="13"/>
        <v>22.301369999999999</v>
      </c>
      <c r="D408" s="409" t="s">
        <v>2858</v>
      </c>
      <c r="E408" s="409" t="s">
        <v>4485</v>
      </c>
      <c r="F408" s="409" t="s">
        <v>1211</v>
      </c>
      <c r="G408" s="409" t="s">
        <v>4486</v>
      </c>
      <c r="H408" s="465">
        <v>620.25202999999999</v>
      </c>
      <c r="I408" s="465">
        <v>22.301369999999999</v>
      </c>
      <c r="J408" s="465">
        <v>76.688749999999999</v>
      </c>
      <c r="K408" s="465">
        <v>8888.5037599999996</v>
      </c>
      <c r="L408" s="464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str">
        <f t="shared" si="12"/>
        <v>SEVROLL 03753 spodná krycia lišta Simple/Blue 2,5m (pre lamino 10mm) oliva</v>
      </c>
      <c r="C409" s="185" t="e">
        <f t="shared" si="13"/>
        <v>#N/A</v>
      </c>
      <c r="D409" s="409" t="s">
        <v>3123</v>
      </c>
      <c r="E409" s="409" t="s">
        <v>4487</v>
      </c>
      <c r="F409" s="409" t="s">
        <v>4488</v>
      </c>
      <c r="G409" s="409" t="s">
        <v>4489</v>
      </c>
      <c r="H409" s="465" t="e">
        <v>#N/A</v>
      </c>
      <c r="I409" s="465" t="e">
        <v>#N/A</v>
      </c>
      <c r="J409" s="465" t="e">
        <v>#N/A</v>
      </c>
      <c r="K409" s="465" t="e">
        <v>#N/A</v>
      </c>
      <c r="L409" s="464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úchytová lišta 2,7m oliva</v>
      </c>
      <c r="C410" s="185">
        <f t="shared" si="13"/>
        <v>21.013249999999999</v>
      </c>
      <c r="D410" s="409" t="s">
        <v>3488</v>
      </c>
      <c r="E410" s="409" t="s">
        <v>4490</v>
      </c>
      <c r="F410" s="409" t="s">
        <v>3488</v>
      </c>
      <c r="G410" s="409" t="s">
        <v>4491</v>
      </c>
      <c r="H410" s="465">
        <v>584.78836999999999</v>
      </c>
      <c r="I410" s="465">
        <v>21.013249999999999</v>
      </c>
      <c r="J410" s="465">
        <v>72.303970000000007</v>
      </c>
      <c r="K410" s="465">
        <v>8380.2928900000006</v>
      </c>
      <c r="L410" s="464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str">
        <f t="shared" si="12"/>
        <v>SEVROLL Herkules 2 horné vedenie 1,5m alu</v>
      </c>
      <c r="C411" s="185" t="e">
        <f t="shared" si="13"/>
        <v>#N/A</v>
      </c>
      <c r="D411" s="409" t="s">
        <v>3050</v>
      </c>
      <c r="E411" s="409" t="s">
        <v>4492</v>
      </c>
      <c r="F411" s="409" t="s">
        <v>4493</v>
      </c>
      <c r="G411" s="409" t="s">
        <v>4494</v>
      </c>
      <c r="H411" s="465" t="e">
        <v>#N/A</v>
      </c>
      <c r="I411" s="465" t="e">
        <v>#N/A</v>
      </c>
      <c r="J411" s="465" t="e">
        <v>#N/A</v>
      </c>
      <c r="K411" s="465" t="e">
        <v>#N/A</v>
      </c>
      <c r="L411" s="464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str">
        <f t="shared" si="12"/>
        <v>SEVROLL Simple horné vedenie 2,5m oliva</v>
      </c>
      <c r="C412" s="185" t="e">
        <f t="shared" si="13"/>
        <v>#N/A</v>
      </c>
      <c r="D412" s="409" t="s">
        <v>3094</v>
      </c>
      <c r="E412" s="409" t="s">
        <v>4495</v>
      </c>
      <c r="F412" s="409" t="s">
        <v>4496</v>
      </c>
      <c r="G412" s="409" t="s">
        <v>4497</v>
      </c>
      <c r="H412" s="465" t="e">
        <v>#N/A</v>
      </c>
      <c r="I412" s="465" t="e">
        <v>#N/A</v>
      </c>
      <c r="J412" s="465" t="e">
        <v>#N/A</v>
      </c>
      <c r="K412" s="465" t="e">
        <v>#N/A</v>
      </c>
      <c r="L412" s="464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spodné vedenie 6m oliva</v>
      </c>
      <c r="C413" s="185">
        <f t="shared" si="13"/>
        <v>23.94079</v>
      </c>
      <c r="D413" s="409" t="s">
        <v>3423</v>
      </c>
      <c r="E413" s="409" t="s">
        <v>4498</v>
      </c>
      <c r="F413" s="409" t="s">
        <v>4499</v>
      </c>
      <c r="G413" s="409" t="s">
        <v>4500</v>
      </c>
      <c r="H413" s="465">
        <v>658.66273000000001</v>
      </c>
      <c r="I413" s="465">
        <v>23.94079</v>
      </c>
      <c r="J413" s="465">
        <v>92.095640000000003</v>
      </c>
      <c r="K413" s="465">
        <v>9735.0737900000004</v>
      </c>
      <c r="L413" s="464" t="s">
        <v>539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Gemini Gemini-2 úchytová lišta 2,7m</v>
      </c>
      <c r="C414" s="185">
        <f t="shared" si="13"/>
        <v>23.628520000000002</v>
      </c>
      <c r="D414" s="409" t="s">
        <v>2776</v>
      </c>
      <c r="E414" s="409" t="s">
        <v>4501</v>
      </c>
      <c r="F414" s="409" t="s">
        <v>1162</v>
      </c>
      <c r="G414" s="409" t="s">
        <v>4502</v>
      </c>
      <c r="H414" s="465">
        <v>657.16317000000004</v>
      </c>
      <c r="I414" s="465">
        <v>23.628520000000002</v>
      </c>
      <c r="J414" s="465">
        <v>86.852999999999994</v>
      </c>
      <c r="K414" s="465">
        <v>9417.4578500000007</v>
      </c>
      <c r="L414" s="464" t="s">
        <v>539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System 10 II úchytová lišta 2,7m zlatá</v>
      </c>
      <c r="C415" s="185">
        <f t="shared" si="13"/>
        <v>23.524429999999999</v>
      </c>
      <c r="D415" s="409" t="s">
        <v>2779</v>
      </c>
      <c r="E415" s="409" t="s">
        <v>4503</v>
      </c>
      <c r="F415" s="409" t="s">
        <v>1096</v>
      </c>
      <c r="G415" s="409" t="s">
        <v>4504</v>
      </c>
      <c r="H415" s="465">
        <v>654.26815999999997</v>
      </c>
      <c r="I415" s="465">
        <v>23.524429999999999</v>
      </c>
      <c r="J415" s="465">
        <v>82.701599999999999</v>
      </c>
      <c r="K415" s="465">
        <v>9375.9710099999993</v>
      </c>
      <c r="L415" s="464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spojovacia lišta H10 3m oliva tmavá kartáčovaná</v>
      </c>
      <c r="C416" s="185">
        <f t="shared" si="13"/>
        <v>21.624780000000001</v>
      </c>
      <c r="D416" s="409" t="s">
        <v>2968</v>
      </c>
      <c r="E416" s="409" t="s">
        <v>4505</v>
      </c>
      <c r="F416" s="409" t="s">
        <v>4506</v>
      </c>
      <c r="G416" s="409" t="s">
        <v>4507</v>
      </c>
      <c r="H416" s="465">
        <v>601.43457000000001</v>
      </c>
      <c r="I416" s="465">
        <v>21.624780000000001</v>
      </c>
      <c r="J416" s="465">
        <v>74.362139999999997</v>
      </c>
      <c r="K416" s="465">
        <v>8618.8407000000007</v>
      </c>
      <c r="L416" s="464" t="s">
        <v>539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spodná krycia lišta 2,35m 10mm zlatá</v>
      </c>
      <c r="C417" s="185">
        <f t="shared" si="13"/>
        <v>24.72147</v>
      </c>
      <c r="D417" s="409" t="s">
        <v>2680</v>
      </c>
      <c r="E417" s="409" t="s">
        <v>4508</v>
      </c>
      <c r="F417" s="409" t="s">
        <v>4509</v>
      </c>
      <c r="G417" s="409" t="s">
        <v>4510</v>
      </c>
      <c r="H417" s="465">
        <v>687.56057999999996</v>
      </c>
      <c r="I417" s="465">
        <v>24.72147</v>
      </c>
      <c r="J417" s="465">
        <v>85.010859999999994</v>
      </c>
      <c r="K417" s="465">
        <v>9853.0670499999997</v>
      </c>
      <c r="L417" s="464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Prince 01 úchytová lišta 2,7m strieborná</v>
      </c>
      <c r="C418" s="185">
        <f t="shared" si="13"/>
        <v>22.145230000000002</v>
      </c>
      <c r="D418" s="409" t="s">
        <v>2771</v>
      </c>
      <c r="E418" s="409" t="s">
        <v>4511</v>
      </c>
      <c r="F418" s="409" t="s">
        <v>4512</v>
      </c>
      <c r="G418" s="409" t="s">
        <v>4513</v>
      </c>
      <c r="H418" s="465">
        <v>615.90953000000002</v>
      </c>
      <c r="I418" s="465">
        <v>22.145230000000002</v>
      </c>
      <c r="J418" s="465">
        <v>76.151830000000004</v>
      </c>
      <c r="K418" s="465">
        <v>8826.2736999999997</v>
      </c>
      <c r="L418" s="464" t="s">
        <v>539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Doubler II spodné vedenie 2,35m str.</v>
      </c>
      <c r="C419" s="185">
        <f t="shared" si="13"/>
        <v>20.037400000000002</v>
      </c>
      <c r="D419" s="409" t="s">
        <v>2884</v>
      </c>
      <c r="E419" s="409" t="s">
        <v>4514</v>
      </c>
      <c r="F419" s="409" t="s">
        <v>1256</v>
      </c>
      <c r="G419" s="409" t="s">
        <v>4515</v>
      </c>
      <c r="H419" s="465">
        <v>557.28593999999998</v>
      </c>
      <c r="I419" s="465">
        <v>20.037400000000002</v>
      </c>
      <c r="J419" s="465">
        <v>73.745999999999995</v>
      </c>
      <c r="K419" s="465">
        <v>7986.1701300000004</v>
      </c>
      <c r="L419" s="464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horné vedenie 2,5m oliva</v>
      </c>
      <c r="C420" s="185">
        <f t="shared" si="13"/>
        <v>23.57648</v>
      </c>
      <c r="D420" s="409" t="s">
        <v>3394</v>
      </c>
      <c r="E420" s="409" t="s">
        <v>4516</v>
      </c>
      <c r="F420" s="409" t="s">
        <v>4517</v>
      </c>
      <c r="G420" s="409" t="s">
        <v>4518</v>
      </c>
      <c r="H420" s="465">
        <v>648.63960999999995</v>
      </c>
      <c r="I420" s="465">
        <v>23.57648</v>
      </c>
      <c r="J420" s="465">
        <v>79.111639999999994</v>
      </c>
      <c r="K420" s="465">
        <v>9586.9315100000003</v>
      </c>
      <c r="L420" s="464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Simple horné vedene 3m strieborná</v>
      </c>
      <c r="C421" s="185">
        <f t="shared" si="13"/>
        <v>21.46865</v>
      </c>
      <c r="D421" s="409" t="s">
        <v>3085</v>
      </c>
      <c r="E421" s="409" t="s">
        <v>4519</v>
      </c>
      <c r="F421" s="409" t="s">
        <v>4520</v>
      </c>
      <c r="G421" s="409" t="s">
        <v>4521</v>
      </c>
      <c r="H421" s="465">
        <v>590.64865999999995</v>
      </c>
      <c r="I421" s="465">
        <v>21.46865</v>
      </c>
      <c r="J421" s="465">
        <v>78.849220000000003</v>
      </c>
      <c r="K421" s="465">
        <v>8729.8217999999997</v>
      </c>
      <c r="L421" s="464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str">
        <f t="shared" si="12"/>
        <v>SEVROLL SPOJ.LIŠTA H25 2,5M str.</v>
      </c>
      <c r="C422" s="185" t="e">
        <f t="shared" si="13"/>
        <v>#N/A</v>
      </c>
      <c r="D422" s="409" t="s">
        <v>2807</v>
      </c>
      <c r="E422" s="409" t="s">
        <v>4522</v>
      </c>
      <c r="F422" s="409" t="s">
        <v>4523</v>
      </c>
      <c r="G422" s="409" t="s">
        <v>4524</v>
      </c>
      <c r="H422" s="465" t="e">
        <v>#N/A</v>
      </c>
      <c r="I422" s="465" t="e">
        <v>#N/A</v>
      </c>
      <c r="J422" s="465" t="e">
        <v>#N/A</v>
      </c>
      <c r="K422" s="465" t="e">
        <v>#N/A</v>
      </c>
      <c r="L422" s="464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spodné vedenie  4,05m strieborná</v>
      </c>
      <c r="C423" s="185">
        <f t="shared" si="13"/>
        <v>19.28275</v>
      </c>
      <c r="D423" s="409" t="s">
        <v>2769</v>
      </c>
      <c r="E423" s="409" t="s">
        <v>4525</v>
      </c>
      <c r="F423" s="409" t="s">
        <v>4526</v>
      </c>
      <c r="G423" s="409" t="s">
        <v>4527</v>
      </c>
      <c r="H423" s="465">
        <v>536.29724999999996</v>
      </c>
      <c r="I423" s="465">
        <v>19.28275</v>
      </c>
      <c r="J423" s="465">
        <v>71.187690000000003</v>
      </c>
      <c r="K423" s="465">
        <v>7685.3922499999999</v>
      </c>
      <c r="L423" s="464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spojovacia lišta H10 3m biela lesk</v>
      </c>
      <c r="C424" s="185">
        <f t="shared" si="13"/>
        <v>15.82174</v>
      </c>
      <c r="D424" s="409" t="s">
        <v>3215</v>
      </c>
      <c r="E424" s="409" t="s">
        <v>4528</v>
      </c>
      <c r="F424" s="409" t="s">
        <v>4529</v>
      </c>
      <c r="G424" s="409" t="s">
        <v>4530</v>
      </c>
      <c r="H424" s="465">
        <v>440.03877999999997</v>
      </c>
      <c r="I424" s="465">
        <v>15.82174</v>
      </c>
      <c r="J424" s="465">
        <v>67.289400000000001</v>
      </c>
      <c r="K424" s="465">
        <v>6305.9629800000002</v>
      </c>
      <c r="L424" s="464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spodná krycia lišta 1,7m 10mm oliva tmavá kartáčovaná</v>
      </c>
      <c r="C425" s="185">
        <f t="shared" si="13"/>
        <v>22.27535</v>
      </c>
      <c r="D425" s="409" t="s">
        <v>2978</v>
      </c>
      <c r="E425" s="409" t="s">
        <v>4531</v>
      </c>
      <c r="F425" s="409" t="s">
        <v>4532</v>
      </c>
      <c r="G425" s="409" t="s">
        <v>4533</v>
      </c>
      <c r="H425" s="465">
        <v>619.52828</v>
      </c>
      <c r="I425" s="465">
        <v>22.27535</v>
      </c>
      <c r="J425" s="465">
        <v>76.599260000000001</v>
      </c>
      <c r="K425" s="465">
        <v>8878.1321399999997</v>
      </c>
      <c r="L425" s="464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Exclusive horné vedenie 1,8m oliva</v>
      </c>
      <c r="C426" s="185">
        <f t="shared" si="13"/>
        <v>23.706589999999998</v>
      </c>
      <c r="D426" s="409" t="s">
        <v>3127</v>
      </c>
      <c r="E426" s="409" t="s">
        <v>4534</v>
      </c>
      <c r="F426" s="409" t="s">
        <v>1174</v>
      </c>
      <c r="G426" s="409" t="s">
        <v>4535</v>
      </c>
      <c r="H426" s="465">
        <v>628.50221999999997</v>
      </c>
      <c r="I426" s="465">
        <v>23.706589999999998</v>
      </c>
      <c r="J426" s="465">
        <v>80.880240000000001</v>
      </c>
      <c r="K426" s="465">
        <v>9180.7993700000006</v>
      </c>
      <c r="L426" s="464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Gemini-2 úch.lišta 2,7m oliva</v>
      </c>
      <c r="C427" s="185">
        <f t="shared" si="13"/>
        <v>23.628520000000002</v>
      </c>
      <c r="D427" s="409" t="s">
        <v>2775</v>
      </c>
      <c r="E427" s="409" t="s">
        <v>4536</v>
      </c>
      <c r="F427" s="409" t="s">
        <v>1246</v>
      </c>
      <c r="G427" s="409" t="s">
        <v>4537</v>
      </c>
      <c r="H427" s="465">
        <v>657.16317000000004</v>
      </c>
      <c r="I427" s="465">
        <v>23.628520000000002</v>
      </c>
      <c r="J427" s="465">
        <v>86.852999999999994</v>
      </c>
      <c r="K427" s="465">
        <v>9417.4578500000007</v>
      </c>
      <c r="L427" s="464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System 10 II úch.lišta 2,7m oliva</v>
      </c>
      <c r="C428" s="185">
        <f t="shared" si="13"/>
        <v>23.524429999999999</v>
      </c>
      <c r="D428" s="409" t="s">
        <v>2778</v>
      </c>
      <c r="E428" s="409" t="s">
        <v>4538</v>
      </c>
      <c r="F428" s="409" t="s">
        <v>1202</v>
      </c>
      <c r="G428" s="409" t="s">
        <v>4539</v>
      </c>
      <c r="H428" s="465">
        <v>654.26815999999997</v>
      </c>
      <c r="I428" s="465">
        <v>23.524429999999999</v>
      </c>
      <c r="J428" s="465">
        <v>82.701599999999999</v>
      </c>
      <c r="K428" s="465">
        <v>9375.9710099999993</v>
      </c>
      <c r="L428" s="464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spodné vedenie 3m biela lesk</v>
      </c>
      <c r="C429" s="185">
        <f t="shared" si="13"/>
        <v>18.58014</v>
      </c>
      <c r="D429" s="409" t="s">
        <v>3432</v>
      </c>
      <c r="E429" s="409" t="s">
        <v>4540</v>
      </c>
      <c r="F429" s="409" t="s">
        <v>4541</v>
      </c>
      <c r="G429" s="409" t="s">
        <v>4542</v>
      </c>
      <c r="H429" s="465">
        <v>516.75604999999996</v>
      </c>
      <c r="I429" s="465">
        <v>18.58014</v>
      </c>
      <c r="J429" s="465">
        <v>73.929599999999994</v>
      </c>
      <c r="K429" s="465">
        <v>7405.3575899999996</v>
      </c>
      <c r="L429" s="464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spoj.lišta H10 3m čierna kartáč</v>
      </c>
      <c r="C430" s="185">
        <f t="shared" si="13"/>
        <v>21.624780000000001</v>
      </c>
      <c r="D430" s="409" t="s">
        <v>2969</v>
      </c>
      <c r="E430" s="409" t="s">
        <v>4543</v>
      </c>
      <c r="F430" s="409" t="s">
        <v>1207</v>
      </c>
      <c r="G430" s="409" t="s">
        <v>4544</v>
      </c>
      <c r="H430" s="465">
        <v>601.43457000000001</v>
      </c>
      <c r="I430" s="465">
        <v>21.624780000000001</v>
      </c>
      <c r="J430" s="465">
        <v>74.362139999999997</v>
      </c>
      <c r="K430" s="465">
        <v>8618.8407000000007</v>
      </c>
      <c r="L430" s="464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SPOJ.LIŠTA "H 10" 3M OLIVA kartáčovaná</v>
      </c>
      <c r="C431" s="185">
        <f t="shared" si="13"/>
        <v>21.624780000000001</v>
      </c>
      <c r="D431" s="409" t="s">
        <v>2829</v>
      </c>
      <c r="E431" s="409" t="s">
        <v>4545</v>
      </c>
      <c r="F431" s="409" t="s">
        <v>4546</v>
      </c>
      <c r="G431" s="409" t="s">
        <v>4547</v>
      </c>
      <c r="H431" s="465">
        <v>601.43457000000001</v>
      </c>
      <c r="I431" s="465">
        <v>21.624780000000001</v>
      </c>
      <c r="J431" s="465">
        <v>74.362139999999997</v>
      </c>
      <c r="K431" s="465">
        <v>8618.8407000000007</v>
      </c>
      <c r="L431" s="464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str">
        <f t="shared" si="12"/>
        <v>SEVROLL 02023 Maxim horné vedenie 1,8m strieborná</v>
      </c>
      <c r="C432" s="185" t="e">
        <f t="shared" si="13"/>
        <v>#N/A</v>
      </c>
      <c r="D432" s="409" t="s">
        <v>2810</v>
      </c>
      <c r="E432" s="409" t="s">
        <v>4548</v>
      </c>
      <c r="F432" s="409" t="s">
        <v>4549</v>
      </c>
      <c r="G432" s="409" t="s">
        <v>4550</v>
      </c>
      <c r="H432" s="465" t="e">
        <v>#N/A</v>
      </c>
      <c r="I432" s="465" t="e">
        <v>#N/A</v>
      </c>
      <c r="J432" s="465" t="e">
        <v>#N/A</v>
      </c>
      <c r="K432" s="465" t="e">
        <v>#N/A</v>
      </c>
      <c r="L432" s="464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Idea sada kovania pre vnútorné dvere 50kg</v>
      </c>
      <c r="C433" s="185">
        <f t="shared" si="13"/>
        <v>19.360810000000001</v>
      </c>
      <c r="D433" s="409" t="s">
        <v>3285</v>
      </c>
      <c r="E433" s="409" t="s">
        <v>4551</v>
      </c>
      <c r="F433" s="409" t="s">
        <v>4552</v>
      </c>
      <c r="G433" s="409" t="s">
        <v>4553</v>
      </c>
      <c r="H433" s="465">
        <v>538.46848999999997</v>
      </c>
      <c r="I433" s="465">
        <v>19.360810000000001</v>
      </c>
      <c r="J433" s="465">
        <v>67.503600000000006</v>
      </c>
      <c r="K433" s="465">
        <v>7716.5070900000001</v>
      </c>
      <c r="L433" s="464" t="s">
        <v>539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spojovacia lišta Simple/Blue H28 3m (pre lamino 18mm) strieborná</v>
      </c>
      <c r="C434" s="185">
        <f t="shared" si="13"/>
        <v>19.829219999999999</v>
      </c>
      <c r="D434" s="409" t="s">
        <v>3341</v>
      </c>
      <c r="E434" s="409" t="s">
        <v>4554</v>
      </c>
      <c r="F434" s="409" t="s">
        <v>4555</v>
      </c>
      <c r="G434" s="409" t="s">
        <v>4556</v>
      </c>
      <c r="H434" s="465">
        <v>545.54456000000005</v>
      </c>
      <c r="I434" s="465">
        <v>19.829219999999999</v>
      </c>
      <c r="J434" s="465">
        <v>70.338160000000002</v>
      </c>
      <c r="K434" s="465">
        <v>8063.1805999999997</v>
      </c>
      <c r="L434" s="464" t="s">
        <v>695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spodné vedenie 2,35m oliva</v>
      </c>
      <c r="C435" s="185">
        <f t="shared" si="13"/>
        <v>25.059760000000001</v>
      </c>
      <c r="D435" s="409" t="s">
        <v>2888</v>
      </c>
      <c r="E435" s="409" t="s">
        <v>4557</v>
      </c>
      <c r="F435" s="409" t="s">
        <v>4558</v>
      </c>
      <c r="G435" s="409" t="s">
        <v>4559</v>
      </c>
      <c r="H435" s="465">
        <v>696.96929999999998</v>
      </c>
      <c r="I435" s="465">
        <v>25.059760000000001</v>
      </c>
      <c r="J435" s="465">
        <v>86.174180000000007</v>
      </c>
      <c r="K435" s="465">
        <v>9987.8983700000008</v>
      </c>
      <c r="L435" s="464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Simple spodné vedenie 6m strieborná</v>
      </c>
      <c r="C436" s="185">
        <f t="shared" si="13"/>
        <v>22.587620000000001</v>
      </c>
      <c r="D436" s="409" t="s">
        <v>3011</v>
      </c>
      <c r="E436" s="409" t="s">
        <v>4560</v>
      </c>
      <c r="F436" s="409" t="s">
        <v>1046</v>
      </c>
      <c r="G436" s="409" t="s">
        <v>4561</v>
      </c>
      <c r="H436" s="465">
        <v>621.43397000000004</v>
      </c>
      <c r="I436" s="465">
        <v>22.587620000000001</v>
      </c>
      <c r="J436" s="465">
        <v>82.672120000000007</v>
      </c>
      <c r="K436" s="465">
        <v>9184.8305600000003</v>
      </c>
      <c r="L436" s="464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9" t="e">
        <v>#N/A</v>
      </c>
      <c r="E437" s="409" t="e">
        <v>#N/A</v>
      </c>
      <c r="F437" s="409" t="e">
        <v>#N/A</v>
      </c>
      <c r="G437" s="409" t="e">
        <v>#N/A</v>
      </c>
      <c r="H437" s="465" t="e">
        <v>#N/A</v>
      </c>
      <c r="I437" s="465" t="e">
        <v>#N/A</v>
      </c>
      <c r="J437" s="465" t="e">
        <v>#N/A</v>
      </c>
      <c r="K437" s="465" t="e">
        <v>#N/A</v>
      </c>
      <c r="L437" s="464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horné vedenie 2,35m oliva</v>
      </c>
      <c r="C438" s="185">
        <f t="shared" si="13"/>
        <v>24.46124</v>
      </c>
      <c r="D438" s="409" t="s">
        <v>2633</v>
      </c>
      <c r="E438" s="409" t="s">
        <v>4562</v>
      </c>
      <c r="F438" s="409" t="s">
        <v>4563</v>
      </c>
      <c r="G438" s="409" t="s">
        <v>2633</v>
      </c>
      <c r="H438" s="465">
        <v>680.32309999999995</v>
      </c>
      <c r="I438" s="465">
        <v>24.46124</v>
      </c>
      <c r="J438" s="465">
        <v>84.116020000000006</v>
      </c>
      <c r="K438" s="465">
        <v>9749.3505399999995</v>
      </c>
      <c r="L438" s="464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horné vedenie 2,35m zlatá</v>
      </c>
      <c r="C439" s="185">
        <f t="shared" si="13"/>
        <v>24.46124</v>
      </c>
      <c r="D439" s="409" t="s">
        <v>2632</v>
      </c>
      <c r="E439" s="409" t="s">
        <v>4564</v>
      </c>
      <c r="F439" s="409" t="s">
        <v>4565</v>
      </c>
      <c r="G439" s="409" t="s">
        <v>2632</v>
      </c>
      <c r="H439" s="465">
        <v>680.32309999999995</v>
      </c>
      <c r="I439" s="465">
        <v>24.46124</v>
      </c>
      <c r="J439" s="465">
        <v>84.116020000000006</v>
      </c>
      <c r="K439" s="465">
        <v>9749.3505399999995</v>
      </c>
      <c r="L439" s="464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Victoria II 2,7m úchytová lišta oliva tmavá kartáčovaná</v>
      </c>
      <c r="C440" s="185">
        <f t="shared" si="13"/>
        <v>23.992840000000001</v>
      </c>
      <c r="D440" s="409" t="s">
        <v>3019</v>
      </c>
      <c r="E440" s="409" t="s">
        <v>4566</v>
      </c>
      <c r="F440" s="409" t="s">
        <v>4567</v>
      </c>
      <c r="G440" s="409" t="s">
        <v>4568</v>
      </c>
      <c r="H440" s="465">
        <v>667.29562999999996</v>
      </c>
      <c r="I440" s="465">
        <v>23.992840000000001</v>
      </c>
      <c r="J440" s="465">
        <v>82.505279999999999</v>
      </c>
      <c r="K440" s="465">
        <v>9562.6607700000004</v>
      </c>
      <c r="L440" s="464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str">
        <f t="shared" si="12"/>
        <v>SEVROLL 02804 Maxim spodná krycia lišta 1,8m 18mm strieborná</v>
      </c>
      <c r="C441" s="185" t="e">
        <f t="shared" si="13"/>
        <v>#N/A</v>
      </c>
      <c r="D441" s="409" t="s">
        <v>2803</v>
      </c>
      <c r="E441" s="409" t="s">
        <v>4569</v>
      </c>
      <c r="F441" s="409" t="s">
        <v>4570</v>
      </c>
      <c r="G441" s="409" t="s">
        <v>4571</v>
      </c>
      <c r="H441" s="465" t="e">
        <v>#N/A</v>
      </c>
      <c r="I441" s="465" t="e">
        <v>#N/A</v>
      </c>
      <c r="J441" s="465" t="e">
        <v>#N/A</v>
      </c>
      <c r="K441" s="465" t="e">
        <v>#N/A</v>
      </c>
      <c r="L441" s="464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Idea horné/spodné vedenie 3m strieborná</v>
      </c>
      <c r="C442" s="185">
        <f t="shared" si="13"/>
        <v>22.431480000000001</v>
      </c>
      <c r="D442" s="409" t="s">
        <v>3282</v>
      </c>
      <c r="E442" s="409" t="s">
        <v>4572</v>
      </c>
      <c r="F442" s="409" t="s">
        <v>4573</v>
      </c>
      <c r="G442" s="409" t="s">
        <v>4574</v>
      </c>
      <c r="H442" s="465">
        <v>623.87075000000004</v>
      </c>
      <c r="I442" s="465">
        <v>22.431480000000001</v>
      </c>
      <c r="J442" s="465">
        <v>78.233999999999995</v>
      </c>
      <c r="K442" s="465">
        <v>8940.3618100000003</v>
      </c>
      <c r="L442" s="464" t="s">
        <v>539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str">
        <f t="shared" si="12"/>
        <v>SEVROLL Maxim spojovacia lišta H25 2,5m oliv</v>
      </c>
      <c r="C443" s="185" t="e">
        <f t="shared" si="13"/>
        <v>#N/A</v>
      </c>
      <c r="D443" s="409" t="s">
        <v>3180</v>
      </c>
      <c r="E443" s="409" t="s">
        <v>4575</v>
      </c>
      <c r="F443" s="409" t="s">
        <v>1123</v>
      </c>
      <c r="G443" s="409" t="s">
        <v>4576</v>
      </c>
      <c r="H443" s="465" t="e">
        <v>#N/A</v>
      </c>
      <c r="I443" s="465" t="e">
        <v>#N/A</v>
      </c>
      <c r="J443" s="465" t="e">
        <v>#N/A</v>
      </c>
      <c r="K443" s="465" t="e">
        <v>#N/A</v>
      </c>
      <c r="L443" s="464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str">
        <f t="shared" si="12"/>
        <v>SEVROLL Maxim vod. Lišta 2,5m strieborná</v>
      </c>
      <c r="C444" s="185" t="e">
        <f t="shared" si="13"/>
        <v>#N/A</v>
      </c>
      <c r="D444" s="409" t="s">
        <v>2800</v>
      </c>
      <c r="E444" s="409" t="s">
        <v>4577</v>
      </c>
      <c r="F444" s="409" t="s">
        <v>1227</v>
      </c>
      <c r="G444" s="409" t="s">
        <v>4578</v>
      </c>
      <c r="H444" s="465" t="e">
        <v>#N/A</v>
      </c>
      <c r="I444" s="465" t="e">
        <v>#N/A</v>
      </c>
      <c r="J444" s="465" t="e">
        <v>#N/A</v>
      </c>
      <c r="K444" s="465" t="e">
        <v>#N/A</v>
      </c>
      <c r="L444" s="464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str">
        <f t="shared" si="12"/>
        <v>SEVROLL Simple horné vedenie 3m oliva</v>
      </c>
      <c r="C445" s="185" t="e">
        <f t="shared" si="13"/>
        <v>#N/A</v>
      </c>
      <c r="D445" s="409" t="s">
        <v>3095</v>
      </c>
      <c r="E445" s="409" t="s">
        <v>4579</v>
      </c>
      <c r="F445" s="409" t="s">
        <v>4580</v>
      </c>
      <c r="G445" s="409" t="s">
        <v>4581</v>
      </c>
      <c r="H445" s="465" t="e">
        <v>#N/A</v>
      </c>
      <c r="I445" s="465" t="e">
        <v>#N/A</v>
      </c>
      <c r="J445" s="465" t="e">
        <v>#N/A</v>
      </c>
      <c r="K445" s="465" t="e">
        <v>#N/A</v>
      </c>
      <c r="L445" s="464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9" t="e">
        <v>#N/A</v>
      </c>
      <c r="E446" s="409" t="e">
        <v>#N/A</v>
      </c>
      <c r="F446" s="409" t="e">
        <v>#N/A</v>
      </c>
      <c r="G446" s="409" t="e">
        <v>#N/A</v>
      </c>
      <c r="H446" s="465" t="e">
        <v>#N/A</v>
      </c>
      <c r="I446" s="465" t="e">
        <v>#N/A</v>
      </c>
      <c r="J446" s="465" t="e">
        <v>#N/A</v>
      </c>
      <c r="K446" s="465" t="e">
        <v>#N/A</v>
      </c>
      <c r="L446" s="464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úchytová lišta 2,7m strieborná</v>
      </c>
      <c r="C447" s="185">
        <f t="shared" si="13"/>
        <v>23.75863</v>
      </c>
      <c r="D447" s="409" t="s">
        <v>2875</v>
      </c>
      <c r="E447" s="409" t="s">
        <v>4582</v>
      </c>
      <c r="F447" s="409" t="s">
        <v>4583</v>
      </c>
      <c r="G447" s="409" t="s">
        <v>4584</v>
      </c>
      <c r="H447" s="465">
        <v>660.78189999999995</v>
      </c>
      <c r="I447" s="465">
        <v>23.75863</v>
      </c>
      <c r="J447" s="465">
        <v>92.779200000000003</v>
      </c>
      <c r="K447" s="465">
        <v>9469.3158899999999</v>
      </c>
      <c r="L447" s="464" t="s">
        <v>539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spodné vedenie 4,05m zlatá</v>
      </c>
      <c r="C448" s="185">
        <f t="shared" si="13"/>
        <v>24.773520000000001</v>
      </c>
      <c r="D448" s="409" t="s">
        <v>2745</v>
      </c>
      <c r="E448" s="409" t="s">
        <v>4585</v>
      </c>
      <c r="F448" s="409" t="s">
        <v>4586</v>
      </c>
      <c r="G448" s="409" t="s">
        <v>4587</v>
      </c>
      <c r="H448" s="465">
        <v>689.00806999999998</v>
      </c>
      <c r="I448" s="465">
        <v>24.773520000000001</v>
      </c>
      <c r="J448" s="465">
        <v>93.075000000000003</v>
      </c>
      <c r="K448" s="465">
        <v>9873.8102500000005</v>
      </c>
      <c r="L448" s="464" t="s">
        <v>538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9" t="e">
        <v>#N/A</v>
      </c>
      <c r="E449" s="409" t="e">
        <v>#N/A</v>
      </c>
      <c r="F449" s="409" t="e">
        <v>#N/A</v>
      </c>
      <c r="G449" s="409" t="e">
        <v>#N/A</v>
      </c>
      <c r="H449" s="465" t="e">
        <v>#N/A</v>
      </c>
      <c r="I449" s="465" t="e">
        <v>#N/A</v>
      </c>
      <c r="J449" s="465" t="e">
        <v>#N/A</v>
      </c>
      <c r="K449" s="465" t="e">
        <v>#N/A</v>
      </c>
      <c r="L449" s="464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horné vedenie 2,35m strieborná</v>
      </c>
      <c r="C450" s="185">
        <f t="shared" si="13"/>
        <v>20.661940000000001</v>
      </c>
      <c r="D450" s="409" t="s">
        <v>2728</v>
      </c>
      <c r="E450" s="409" t="s">
        <v>4588</v>
      </c>
      <c r="F450" s="409" t="s">
        <v>4589</v>
      </c>
      <c r="G450" s="409" t="s">
        <v>2728</v>
      </c>
      <c r="H450" s="465">
        <v>547.78349000000003</v>
      </c>
      <c r="I450" s="465">
        <v>20.661940000000001</v>
      </c>
      <c r="J450" s="465">
        <v>70.492769999999993</v>
      </c>
      <c r="K450" s="465">
        <v>8001.7064600000003</v>
      </c>
      <c r="L450" s="464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9" t="e">
        <v>#N/A</v>
      </c>
      <c r="E451" s="409" t="e">
        <v>#N/A</v>
      </c>
      <c r="F451" s="409" t="e">
        <v>#N/A</v>
      </c>
      <c r="G451" s="409" t="e">
        <v>#N/A</v>
      </c>
      <c r="H451" s="465" t="e">
        <v>#N/A</v>
      </c>
      <c r="I451" s="465" t="e">
        <v>#N/A</v>
      </c>
      <c r="J451" s="465" t="e">
        <v>#N/A</v>
      </c>
      <c r="K451" s="465" t="e">
        <v>#N/A</v>
      </c>
      <c r="L451" s="464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tlmič dorazu Mini SV25 (14-25kg)</v>
      </c>
      <c r="C452" s="185">
        <f t="shared" ref="C452:C515" si="15">IF($A$2=1,H452,IF($A$2=2,I452,IF($A$2=3,J452,IF($A$2=4,K452,IF($A$2&gt;4,O452,"zadat jazyk")))))</f>
        <v>22.951930000000001</v>
      </c>
      <c r="D452" s="409" t="s">
        <v>4590</v>
      </c>
      <c r="E452" s="409" t="s">
        <v>4591</v>
      </c>
      <c r="F452" s="409" t="s">
        <v>4592</v>
      </c>
      <c r="G452" s="409" t="s">
        <v>4593</v>
      </c>
      <c r="H452" s="465">
        <v>677.38124000000005</v>
      </c>
      <c r="I452" s="465">
        <v>22.951930000000001</v>
      </c>
      <c r="J452" s="465">
        <v>96.889799999999994</v>
      </c>
      <c r="K452" s="465">
        <v>9407.0440500000004</v>
      </c>
      <c r="L452" s="464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tlmič dorazu Mini SV40 (25 - 40kg)</v>
      </c>
      <c r="C453" s="185">
        <f t="shared" si="15"/>
        <v>22.951930000000001</v>
      </c>
      <c r="D453" s="409" t="s">
        <v>4594</v>
      </c>
      <c r="E453" s="409" t="s">
        <v>4595</v>
      </c>
      <c r="F453" s="409" t="s">
        <v>4596</v>
      </c>
      <c r="G453" s="409" t="s">
        <v>4597</v>
      </c>
      <c r="H453" s="465">
        <v>677.38124000000005</v>
      </c>
      <c r="I453" s="465">
        <v>22.951930000000001</v>
      </c>
      <c r="J453" s="465">
        <v>96.889799999999994</v>
      </c>
      <c r="K453" s="465">
        <v>9407.0440500000004</v>
      </c>
      <c r="L453" s="464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tlmič dorazu Mini SV60 (40 - 60kg)</v>
      </c>
      <c r="C454" s="185">
        <f t="shared" si="15"/>
        <v>22.951930000000001</v>
      </c>
      <c r="D454" s="409" t="s">
        <v>4598</v>
      </c>
      <c r="E454" s="409" t="s">
        <v>4599</v>
      </c>
      <c r="F454" s="409" t="s">
        <v>4600</v>
      </c>
      <c r="G454" s="409" t="s">
        <v>4601</v>
      </c>
      <c r="H454" s="465">
        <v>677.38124000000005</v>
      </c>
      <c r="I454" s="465">
        <v>22.951930000000001</v>
      </c>
      <c r="J454" s="465">
        <v>96.889799999999994</v>
      </c>
      <c r="K454" s="465">
        <v>9407.0440500000004</v>
      </c>
      <c r="L454" s="464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01462 Gemini horné vedenie 3m strieborná</v>
      </c>
      <c r="C455" s="185">
        <f t="shared" si="15"/>
        <v>24.9817</v>
      </c>
      <c r="D455" s="409" t="s">
        <v>2637</v>
      </c>
      <c r="E455" s="409" t="s">
        <v>4602</v>
      </c>
      <c r="F455" s="409" t="s">
        <v>4603</v>
      </c>
      <c r="G455" s="409" t="s">
        <v>2637</v>
      </c>
      <c r="H455" s="465">
        <v>694.07431999999994</v>
      </c>
      <c r="I455" s="465">
        <v>24.9817</v>
      </c>
      <c r="J455" s="465">
        <v>92.079909999999998</v>
      </c>
      <c r="K455" s="465">
        <v>9946.4119300000002</v>
      </c>
      <c r="L455" s="464" t="s">
        <v>695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str">
        <f t="shared" si="14"/>
        <v>SEVROLL Herkules 2 horné vedenie 1,8m alu</v>
      </c>
      <c r="C456" s="185" t="e">
        <f t="shared" si="15"/>
        <v>#N/A</v>
      </c>
      <c r="D456" s="409" t="s">
        <v>3051</v>
      </c>
      <c r="E456" s="409" t="s">
        <v>4604</v>
      </c>
      <c r="F456" s="409" t="s">
        <v>4605</v>
      </c>
      <c r="G456" s="409" t="s">
        <v>4606</v>
      </c>
      <c r="H456" s="465" t="e">
        <v>#N/A</v>
      </c>
      <c r="I456" s="465" t="e">
        <v>#N/A</v>
      </c>
      <c r="J456" s="465" t="e">
        <v>#N/A</v>
      </c>
      <c r="K456" s="465" t="e">
        <v>#N/A</v>
      </c>
      <c r="L456" s="464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spodné vedenie  4,05m oliva</v>
      </c>
      <c r="C457" s="185">
        <f t="shared" si="15"/>
        <v>24.773520000000001</v>
      </c>
      <c r="D457" s="409" t="s">
        <v>2746</v>
      </c>
      <c r="E457" s="409" t="s">
        <v>4607</v>
      </c>
      <c r="F457" s="409" t="s">
        <v>4608</v>
      </c>
      <c r="G457" s="409" t="s">
        <v>4609</v>
      </c>
      <c r="H457" s="465">
        <v>689.00806999999998</v>
      </c>
      <c r="I457" s="465">
        <v>24.773520000000001</v>
      </c>
      <c r="J457" s="465">
        <v>93.075000000000003</v>
      </c>
      <c r="K457" s="465">
        <v>9873.8102500000005</v>
      </c>
      <c r="L457" s="464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horné vedenie  3m strieborná</v>
      </c>
      <c r="C458" s="185">
        <f t="shared" si="15"/>
        <v>22.639659999999999</v>
      </c>
      <c r="D458" s="409" t="s">
        <v>3396</v>
      </c>
      <c r="E458" s="409" t="s">
        <v>4610</v>
      </c>
      <c r="F458" s="409" t="s">
        <v>4611</v>
      </c>
      <c r="G458" s="409" t="s">
        <v>4612</v>
      </c>
      <c r="H458" s="465">
        <v>622.86584000000005</v>
      </c>
      <c r="I458" s="465">
        <v>22.639659999999999</v>
      </c>
      <c r="J458" s="465">
        <v>80.48536</v>
      </c>
      <c r="K458" s="465">
        <v>9205.9936899999993</v>
      </c>
      <c r="L458" s="464" t="s">
        <v>695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úchytová lišta 2,7m čierna  kartáčovaná</v>
      </c>
      <c r="C459" s="185">
        <f t="shared" si="15"/>
        <v>23.992840000000001</v>
      </c>
      <c r="D459" s="409" t="s">
        <v>3020</v>
      </c>
      <c r="E459" s="409" t="s">
        <v>4613</v>
      </c>
      <c r="F459" s="409" t="s">
        <v>4614</v>
      </c>
      <c r="G459" s="409" t="s">
        <v>4615</v>
      </c>
      <c r="H459" s="465">
        <v>667.29562999999996</v>
      </c>
      <c r="I459" s="465">
        <v>23.992840000000001</v>
      </c>
      <c r="J459" s="465">
        <v>82.505279999999999</v>
      </c>
      <c r="K459" s="465">
        <v>9562.6607700000004</v>
      </c>
      <c r="L459" s="464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úchytová lišta 2,7m oliva kartáčovaná</v>
      </c>
      <c r="C460" s="185">
        <f t="shared" si="15"/>
        <v>23.992840000000001</v>
      </c>
      <c r="D460" s="409" t="s">
        <v>2936</v>
      </c>
      <c r="E460" s="409" t="s">
        <v>4616</v>
      </c>
      <c r="F460" s="409" t="s">
        <v>2936</v>
      </c>
      <c r="G460" s="409" t="s">
        <v>4617</v>
      </c>
      <c r="H460" s="465">
        <v>667.29562999999996</v>
      </c>
      <c r="I460" s="465">
        <v>23.992840000000001</v>
      </c>
      <c r="J460" s="465">
        <v>82.505279999999999</v>
      </c>
      <c r="K460" s="465">
        <v>9562.6607700000004</v>
      </c>
      <c r="L460" s="464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9" t="e">
        <v>#N/A</v>
      </c>
      <c r="E461" s="409" t="e">
        <v>#N/A</v>
      </c>
      <c r="F461" s="409" t="e">
        <v>#N/A</v>
      </c>
      <c r="G461" s="409" t="e">
        <v>#N/A</v>
      </c>
      <c r="H461" s="465" t="e">
        <v>#N/A</v>
      </c>
      <c r="I461" s="465" t="e">
        <v>#N/A</v>
      </c>
      <c r="J461" s="465" t="e">
        <v>#N/A</v>
      </c>
      <c r="K461" s="465" t="e">
        <v>#N/A</v>
      </c>
      <c r="L461" s="464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str">
        <f t="shared" si="14"/>
        <v>SEVROLL Porto úchytová lišta 2,7m strieborn</v>
      </c>
      <c r="C462" s="185" t="e">
        <f t="shared" si="15"/>
        <v>#N/A</v>
      </c>
      <c r="D462" s="409" t="s">
        <v>3276</v>
      </c>
      <c r="E462" s="409" t="s">
        <v>4618</v>
      </c>
      <c r="F462" s="409" t="s">
        <v>1113</v>
      </c>
      <c r="G462" s="409" t="s">
        <v>4619</v>
      </c>
      <c r="H462" s="465" t="e">
        <v>#N/A</v>
      </c>
      <c r="I462" s="465" t="e">
        <v>#N/A</v>
      </c>
      <c r="J462" s="465" t="e">
        <v>#N/A</v>
      </c>
      <c r="K462" s="465" t="e">
        <v>#N/A</v>
      </c>
      <c r="L462" s="464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str">
        <f t="shared" si="14"/>
        <v>SEVROLL Simple spodné vedenie 6m oliva</v>
      </c>
      <c r="C463" s="185" t="e">
        <f t="shared" si="15"/>
        <v>#N/A</v>
      </c>
      <c r="D463" s="409" t="s">
        <v>3073</v>
      </c>
      <c r="E463" s="409" t="s">
        <v>4620</v>
      </c>
      <c r="F463" s="409" t="s">
        <v>4621</v>
      </c>
      <c r="G463" s="409" t="s">
        <v>4622</v>
      </c>
      <c r="H463" s="465" t="e">
        <v>#N/A</v>
      </c>
      <c r="I463" s="465" t="e">
        <v>#N/A</v>
      </c>
      <c r="J463" s="465" t="e">
        <v>#N/A</v>
      </c>
      <c r="K463" s="465" t="e">
        <v>#N/A</v>
      </c>
      <c r="L463" s="464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horné vedenie 2,35m oliva</v>
      </c>
      <c r="C464" s="185">
        <f t="shared" si="15"/>
        <v>25.189879999999999</v>
      </c>
      <c r="D464" s="409" t="s">
        <v>2727</v>
      </c>
      <c r="E464" s="409" t="s">
        <v>4623</v>
      </c>
      <c r="F464" s="409" t="s">
        <v>4624</v>
      </c>
      <c r="G464" s="409" t="s">
        <v>4625</v>
      </c>
      <c r="H464" s="465">
        <v>667.82673999999997</v>
      </c>
      <c r="I464" s="465">
        <v>25.189879999999999</v>
      </c>
      <c r="J464" s="465">
        <v>85.940809999999999</v>
      </c>
      <c r="K464" s="465">
        <v>9755.2292899999993</v>
      </c>
      <c r="L464" s="464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Comfort 18 II úch.lišta 2,7m str,</v>
      </c>
      <c r="C465" s="185">
        <f t="shared" si="15"/>
        <v>23.75863</v>
      </c>
      <c r="D465" s="409" t="s">
        <v>2870</v>
      </c>
      <c r="E465" s="409" t="s">
        <v>4626</v>
      </c>
      <c r="F465" s="409" t="s">
        <v>1261</v>
      </c>
      <c r="G465" s="409" t="s">
        <v>4627</v>
      </c>
      <c r="H465" s="465">
        <v>660.78189999999995</v>
      </c>
      <c r="I465" s="465">
        <v>23.75863</v>
      </c>
      <c r="J465" s="465">
        <v>92.779200000000003</v>
      </c>
      <c r="K465" s="465">
        <v>9469.3158899999999</v>
      </c>
      <c r="L465" s="464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253S-SPOJ.LIŠTA H-30mm STR 3m</v>
      </c>
      <c r="C466" s="185">
        <f t="shared" si="15"/>
        <v>22.509550000000001</v>
      </c>
      <c r="D466" s="409" t="s">
        <v>2692</v>
      </c>
      <c r="E466" s="409" t="s">
        <v>4628</v>
      </c>
      <c r="F466" s="409" t="s">
        <v>4629</v>
      </c>
      <c r="G466" s="409" t="s">
        <v>2692</v>
      </c>
      <c r="H466" s="465">
        <v>626.04201999999998</v>
      </c>
      <c r="I466" s="465">
        <v>22.509550000000001</v>
      </c>
      <c r="J466" s="465">
        <v>78.601200000000006</v>
      </c>
      <c r="K466" s="465">
        <v>8971.4770399999998</v>
      </c>
      <c r="L466" s="464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vozík pre šikmé krídlo - 2ks</v>
      </c>
      <c r="C467" s="185">
        <f t="shared" si="15"/>
        <v>20.193539999999999</v>
      </c>
      <c r="D467" s="409" t="s">
        <v>2784</v>
      </c>
      <c r="E467" s="409" t="s">
        <v>4630</v>
      </c>
      <c r="F467" s="409" t="s">
        <v>4631</v>
      </c>
      <c r="G467" s="409" t="s">
        <v>4632</v>
      </c>
      <c r="H467" s="465">
        <v>595.97262999999998</v>
      </c>
      <c r="I467" s="465">
        <v>20.193539999999999</v>
      </c>
      <c r="J467" s="465">
        <v>67.640100000000004</v>
      </c>
      <c r="K467" s="465">
        <v>8276.4924900000005</v>
      </c>
      <c r="L467" s="464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spodné vedenie  6m strieborná</v>
      </c>
      <c r="C468" s="185">
        <f t="shared" si="15"/>
        <v>24.20102</v>
      </c>
      <c r="D468" s="409" t="s">
        <v>3410</v>
      </c>
      <c r="E468" s="409" t="s">
        <v>4633</v>
      </c>
      <c r="F468" s="409" t="s">
        <v>4634</v>
      </c>
      <c r="G468" s="409" t="s">
        <v>4635</v>
      </c>
      <c r="H468" s="465">
        <v>665.82210999999995</v>
      </c>
      <c r="I468" s="465">
        <v>24.20102</v>
      </c>
      <c r="J468" s="465">
        <v>99.143609999999995</v>
      </c>
      <c r="K468" s="465">
        <v>9840.8898000000008</v>
      </c>
      <c r="L468" s="464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9" t="e">
        <v>#N/A</v>
      </c>
      <c r="E469" s="409" t="e">
        <v>#N/A</v>
      </c>
      <c r="F469" s="409" t="e">
        <v>#N/A</v>
      </c>
      <c r="G469" s="409" t="e">
        <v>#N/A</v>
      </c>
      <c r="H469" s="465" t="e">
        <v>#N/A</v>
      </c>
      <c r="I469" s="465" t="e">
        <v>#N/A</v>
      </c>
      <c r="J469" s="465" t="e">
        <v>#N/A</v>
      </c>
      <c r="K469" s="465" t="e">
        <v>#N/A</v>
      </c>
      <c r="L469" s="464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Karat úch.lišta 2,7m str</v>
      </c>
      <c r="C470" s="185">
        <f t="shared" si="15"/>
        <v>22.067160000000001</v>
      </c>
      <c r="D470" s="409" t="s">
        <v>3080</v>
      </c>
      <c r="E470" s="409" t="s">
        <v>4636</v>
      </c>
      <c r="F470" s="409" t="s">
        <v>1234</v>
      </c>
      <c r="G470" s="409" t="s">
        <v>4637</v>
      </c>
      <c r="H470" s="465">
        <v>613.73829000000001</v>
      </c>
      <c r="I470" s="465">
        <v>22.067160000000001</v>
      </c>
      <c r="J470" s="465">
        <v>78.988799999999998</v>
      </c>
      <c r="K470" s="465">
        <v>8795.1588800000009</v>
      </c>
      <c r="L470" s="464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str">
        <f t="shared" si="14"/>
        <v>SEVROLL SPODNÉ VED. MAXIM II 3,5M STR.</v>
      </c>
      <c r="C471" s="185" t="e">
        <f t="shared" si="15"/>
        <v>#N/A</v>
      </c>
      <c r="D471" s="409" t="s">
        <v>2911</v>
      </c>
      <c r="E471" s="409" t="s">
        <v>4638</v>
      </c>
      <c r="F471" s="409" t="s">
        <v>4639</v>
      </c>
      <c r="G471" s="409" t="s">
        <v>4640</v>
      </c>
      <c r="H471" s="465" t="e">
        <v>#N/A</v>
      </c>
      <c r="I471" s="465" t="e">
        <v>#N/A</v>
      </c>
      <c r="J471" s="465" t="e">
        <v>#N/A</v>
      </c>
      <c r="K471" s="465" t="e">
        <v>#N/A</v>
      </c>
      <c r="L471" s="464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úchytová lišta 2,7m strieborná</v>
      </c>
      <c r="C472" s="185">
        <f t="shared" si="15"/>
        <v>24.747489999999999</v>
      </c>
      <c r="D472" s="409" t="s">
        <v>2942</v>
      </c>
      <c r="E472" s="409" t="s">
        <v>4641</v>
      </c>
      <c r="F472" s="409" t="s">
        <v>4642</v>
      </c>
      <c r="G472" s="409" t="s">
        <v>4643</v>
      </c>
      <c r="H472" s="465">
        <v>688.28432999999995</v>
      </c>
      <c r="I472" s="465">
        <v>24.747489999999999</v>
      </c>
      <c r="J472" s="465">
        <v>102.72564</v>
      </c>
      <c r="K472" s="465">
        <v>9863.4386500000001</v>
      </c>
      <c r="L472" s="464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Comfort spodné vedenie 3m oliva</v>
      </c>
      <c r="C473" s="185">
        <f t="shared" si="15"/>
        <v>29.821899999999999</v>
      </c>
      <c r="D473" s="409" t="s">
        <v>3028</v>
      </c>
      <c r="E473" s="409" t="s">
        <v>4644</v>
      </c>
      <c r="F473" s="409" t="s">
        <v>1182</v>
      </c>
      <c r="G473" s="409" t="s">
        <v>4645</v>
      </c>
      <c r="H473" s="465">
        <v>829.41520000000003</v>
      </c>
      <c r="I473" s="465">
        <v>29.821899999999999</v>
      </c>
      <c r="J473" s="465">
        <v>111.027</v>
      </c>
      <c r="K473" s="465">
        <v>11885.91051</v>
      </c>
      <c r="L473" s="464" t="s">
        <v>539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spodné vedenie  4,05m oliva</v>
      </c>
      <c r="C474" s="185">
        <f t="shared" si="15"/>
        <v>25.50215</v>
      </c>
      <c r="D474" s="409" t="s">
        <v>3310</v>
      </c>
      <c r="E474" s="409" t="s">
        <v>4646</v>
      </c>
      <c r="F474" s="409" t="s">
        <v>4647</v>
      </c>
      <c r="G474" s="409" t="s">
        <v>4648</v>
      </c>
      <c r="H474" s="465">
        <v>709.27301999999997</v>
      </c>
      <c r="I474" s="465">
        <v>25.50215</v>
      </c>
      <c r="J474" s="465">
        <v>87.695409999999995</v>
      </c>
      <c r="K474" s="465">
        <v>10164.21653</v>
      </c>
      <c r="L474" s="464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tlmič dorazu Simple/Blue 10/18 25kg L+P</v>
      </c>
      <c r="C475" s="185">
        <f t="shared" si="15"/>
        <v>24.695450000000001</v>
      </c>
      <c r="D475" s="409" t="s">
        <v>3426</v>
      </c>
      <c r="E475" s="409" t="s">
        <v>4649</v>
      </c>
      <c r="F475" s="409" t="s">
        <v>4650</v>
      </c>
      <c r="G475" s="409" t="s">
        <v>4651</v>
      </c>
      <c r="H475" s="465">
        <v>728.83765000000005</v>
      </c>
      <c r="I475" s="465">
        <v>24.695450000000001</v>
      </c>
      <c r="J475" s="465">
        <v>109.51739999999999</v>
      </c>
      <c r="K475" s="465">
        <v>10121.63823</v>
      </c>
      <c r="L475" s="464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tlmič doraz.Simple 10/18, 25 - 40kg (L+P)</v>
      </c>
      <c r="C476" s="185">
        <f t="shared" si="15"/>
        <v>24.695450000000001</v>
      </c>
      <c r="D476" s="409" t="s">
        <v>3278</v>
      </c>
      <c r="E476" s="409" t="s">
        <v>4652</v>
      </c>
      <c r="F476" s="409" t="s">
        <v>4653</v>
      </c>
      <c r="G476" s="409" t="s">
        <v>4654</v>
      </c>
      <c r="H476" s="465">
        <v>728.83765000000005</v>
      </c>
      <c r="I476" s="465">
        <v>24.695450000000001</v>
      </c>
      <c r="J476" s="465">
        <v>109.51739999999999</v>
      </c>
      <c r="K476" s="465">
        <v>10121.63823</v>
      </c>
      <c r="L476" s="464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str">
        <f t="shared" si="14"/>
        <v>SEVROLL Maxim vodiaca lišta 2,5m oliva</v>
      </c>
      <c r="C477" s="185" t="e">
        <f t="shared" si="15"/>
        <v>#N/A</v>
      </c>
      <c r="D477" s="409" t="s">
        <v>3262</v>
      </c>
      <c r="E477" s="409" t="s">
        <v>4655</v>
      </c>
      <c r="F477" s="409" t="s">
        <v>4656</v>
      </c>
      <c r="G477" s="409" t="s">
        <v>4657</v>
      </c>
      <c r="H477" s="465" t="e">
        <v>#N/A</v>
      </c>
      <c r="I477" s="465" t="e">
        <v>#N/A</v>
      </c>
      <c r="J477" s="465" t="e">
        <v>#N/A</v>
      </c>
      <c r="K477" s="465" t="e">
        <v>#N/A</v>
      </c>
      <c r="L477" s="464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úchytová lišta 2,7m oliva tmavá kartáčovaná</v>
      </c>
      <c r="C478" s="185">
        <f t="shared" si="15"/>
        <v>25.169070000000001</v>
      </c>
      <c r="D478" s="409" t="s">
        <v>2953</v>
      </c>
      <c r="E478" s="409" t="s">
        <v>4658</v>
      </c>
      <c r="F478" s="409" t="s">
        <v>2953</v>
      </c>
      <c r="G478" s="409" t="s">
        <v>4659</v>
      </c>
      <c r="H478" s="465">
        <v>699.86431000000005</v>
      </c>
      <c r="I478" s="465">
        <v>25.169070000000001</v>
      </c>
      <c r="J478" s="465">
        <v>90.198599999999999</v>
      </c>
      <c r="K478" s="465">
        <v>10029.385200000001</v>
      </c>
      <c r="L478" s="464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Optima spodné vedenie 6m surová</v>
      </c>
      <c r="C479" s="185">
        <f t="shared" si="15"/>
        <v>24.9817</v>
      </c>
      <c r="D479" s="409" t="s">
        <v>3200</v>
      </c>
      <c r="E479" s="409" t="s">
        <v>4660</v>
      </c>
      <c r="F479" s="409" t="s">
        <v>1118</v>
      </c>
      <c r="G479" s="409" t="s">
        <v>4661</v>
      </c>
      <c r="H479" s="465">
        <v>694.79805999999996</v>
      </c>
      <c r="I479" s="465">
        <v>24.9817</v>
      </c>
      <c r="J479" s="465">
        <v>85.905709999999999</v>
      </c>
      <c r="K479" s="465">
        <v>9956.7835300000006</v>
      </c>
      <c r="L479" s="464" t="s">
        <v>539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úchytová lišta 2,7m strieborná</v>
      </c>
      <c r="C480" s="185">
        <f t="shared" si="15"/>
        <v>20.68797</v>
      </c>
      <c r="D480" s="409" t="s">
        <v>3223</v>
      </c>
      <c r="E480" s="409" t="s">
        <v>4662</v>
      </c>
      <c r="F480" s="409" t="s">
        <v>4663</v>
      </c>
      <c r="G480" s="409" t="s">
        <v>4664</v>
      </c>
      <c r="H480" s="465">
        <v>575.37965999999994</v>
      </c>
      <c r="I480" s="465">
        <v>20.68797</v>
      </c>
      <c r="J480" s="465">
        <v>78.988799999999998</v>
      </c>
      <c r="K480" s="465">
        <v>8245.4615699999995</v>
      </c>
      <c r="L480" s="464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str">
        <f t="shared" si="14"/>
        <v>SEVROLL Prosper II úch.lišta 2,7m strieborná</v>
      </c>
      <c r="C481" s="185" t="e">
        <f t="shared" si="15"/>
        <v>#N/A</v>
      </c>
      <c r="D481" s="409" t="s">
        <v>2923</v>
      </c>
      <c r="E481" s="409" t="s">
        <v>4665</v>
      </c>
      <c r="F481" s="409" t="s">
        <v>1214</v>
      </c>
      <c r="G481" s="409" t="s">
        <v>4666</v>
      </c>
      <c r="H481" s="465" t="e">
        <v>#N/A</v>
      </c>
      <c r="I481" s="465" t="e">
        <v>#N/A</v>
      </c>
      <c r="J481" s="465" t="e">
        <v>#N/A</v>
      </c>
      <c r="K481" s="465" t="e">
        <v>#N/A</v>
      </c>
      <c r="L481" s="464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str">
        <f t="shared" si="14"/>
        <v>SEVROLL Rex úchytová lišta 2,7m strieborná</v>
      </c>
      <c r="C482" s="185" t="e">
        <f t="shared" si="15"/>
        <v>#N/A</v>
      </c>
      <c r="D482" s="409" t="s">
        <v>3252</v>
      </c>
      <c r="E482" s="409" t="s">
        <v>4667</v>
      </c>
      <c r="F482" s="409" t="s">
        <v>1212</v>
      </c>
      <c r="G482" s="409" t="s">
        <v>4668</v>
      </c>
      <c r="H482" s="465" t="e">
        <v>#N/A</v>
      </c>
      <c r="I482" s="465" t="e">
        <v>#N/A</v>
      </c>
      <c r="J482" s="465" t="e">
        <v>#N/A</v>
      </c>
      <c r="K482" s="465" t="e">
        <v>#N/A</v>
      </c>
      <c r="L482" s="464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spodné vedenie 6m oliva</v>
      </c>
      <c r="C483" s="185">
        <f t="shared" si="15"/>
        <v>30.251270000000002</v>
      </c>
      <c r="D483" s="409" t="s">
        <v>3409</v>
      </c>
      <c r="E483" s="409" t="s">
        <v>4669</v>
      </c>
      <c r="F483" s="409" t="s">
        <v>4670</v>
      </c>
      <c r="G483" s="409" t="s">
        <v>4671</v>
      </c>
      <c r="H483" s="465">
        <v>832.63559999999995</v>
      </c>
      <c r="I483" s="465">
        <v>30.251270000000002</v>
      </c>
      <c r="J483" s="465">
        <v>111.19439</v>
      </c>
      <c r="K483" s="465">
        <v>12306.40294</v>
      </c>
      <c r="L483" s="464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úchytová lišta 2,7m oliva</v>
      </c>
      <c r="C484" s="185">
        <f t="shared" si="15"/>
        <v>30.446439999999999</v>
      </c>
      <c r="D484" s="409" t="s">
        <v>2876</v>
      </c>
      <c r="E484" s="409" t="s">
        <v>4672</v>
      </c>
      <c r="F484" s="409" t="s">
        <v>2876</v>
      </c>
      <c r="G484" s="409" t="s">
        <v>4673</v>
      </c>
      <c r="H484" s="465">
        <v>846.78513999999996</v>
      </c>
      <c r="I484" s="465">
        <v>30.446439999999999</v>
      </c>
      <c r="J484" s="465">
        <v>104.69759999999999</v>
      </c>
      <c r="K484" s="465">
        <v>12134.82993</v>
      </c>
      <c r="L484" s="464" t="s">
        <v>539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úchytová lišta 2,7m oliva</v>
      </c>
      <c r="C485" s="185">
        <f t="shared" si="15"/>
        <v>30.446439999999999</v>
      </c>
      <c r="D485" s="409" t="s">
        <v>2871</v>
      </c>
      <c r="E485" s="409" t="s">
        <v>4674</v>
      </c>
      <c r="F485" s="409" t="s">
        <v>2871</v>
      </c>
      <c r="G485" s="409" t="s">
        <v>4675</v>
      </c>
      <c r="H485" s="465">
        <v>846.78513999999996</v>
      </c>
      <c r="I485" s="465">
        <v>30.446439999999999</v>
      </c>
      <c r="J485" s="465">
        <v>104.69759999999999</v>
      </c>
      <c r="K485" s="465">
        <v>12134.82993</v>
      </c>
      <c r="L485" s="464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karat úchytová lišta 2,7m oliva</v>
      </c>
      <c r="C486" s="185">
        <f t="shared" si="15"/>
        <v>27.583960000000001</v>
      </c>
      <c r="D486" s="409" t="s">
        <v>3081</v>
      </c>
      <c r="E486" s="409" t="s">
        <v>4676</v>
      </c>
      <c r="F486" s="409" t="s">
        <v>1144</v>
      </c>
      <c r="G486" s="409" t="s">
        <v>4677</v>
      </c>
      <c r="H486" s="465">
        <v>767.17286000000001</v>
      </c>
      <c r="I486" s="465">
        <v>27.583960000000001</v>
      </c>
      <c r="J486" s="465">
        <v>94.854230000000001</v>
      </c>
      <c r="K486" s="465">
        <v>10993.948490000001</v>
      </c>
      <c r="L486" s="464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str">
        <f t="shared" si="14"/>
        <v>SEVROLL Herkules 2 horné vedenie 2m alu</v>
      </c>
      <c r="C487" s="185" t="e">
        <f t="shared" si="15"/>
        <v>#N/A</v>
      </c>
      <c r="D487" s="409" t="s">
        <v>3052</v>
      </c>
      <c r="E487" s="409" t="s">
        <v>4678</v>
      </c>
      <c r="F487" s="409" t="s">
        <v>4679</v>
      </c>
      <c r="G487" s="409" t="s">
        <v>4680</v>
      </c>
      <c r="H487" s="465" t="e">
        <v>#N/A</v>
      </c>
      <c r="I487" s="465" t="e">
        <v>#N/A</v>
      </c>
      <c r="J487" s="465" t="e">
        <v>#N/A</v>
      </c>
      <c r="K487" s="465" t="e">
        <v>#N/A</v>
      </c>
      <c r="L487" s="464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Hide N spodné vedenie 6m strieborná</v>
      </c>
      <c r="C488" s="185">
        <f t="shared" si="15"/>
        <v>25.450099999999999</v>
      </c>
      <c r="D488" s="409" t="s">
        <v>3189</v>
      </c>
      <c r="E488" s="409" t="s">
        <v>1933</v>
      </c>
      <c r="F488" s="409" t="s">
        <v>4681</v>
      </c>
      <c r="G488" s="409" t="s">
        <v>2453</v>
      </c>
      <c r="H488" s="465">
        <v>674.72577999999999</v>
      </c>
      <c r="I488" s="465">
        <v>25.450099999999999</v>
      </c>
      <c r="J488" s="465">
        <v>86.828620000000001</v>
      </c>
      <c r="K488" s="465">
        <v>9856.0064600000005</v>
      </c>
      <c r="L488" s="464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horné vedenie  3m oliva</v>
      </c>
      <c r="C489" s="185">
        <f t="shared" si="15"/>
        <v>28.31259</v>
      </c>
      <c r="D489" s="409" t="s">
        <v>3395</v>
      </c>
      <c r="E489" s="409" t="s">
        <v>4682</v>
      </c>
      <c r="F489" s="409" t="s">
        <v>4683</v>
      </c>
      <c r="G489" s="409" t="s">
        <v>4684</v>
      </c>
      <c r="H489" s="465">
        <v>778.94028000000003</v>
      </c>
      <c r="I489" s="465">
        <v>28.31259</v>
      </c>
      <c r="J489" s="465">
        <v>94.933920000000001</v>
      </c>
      <c r="K489" s="465">
        <v>11512.78299</v>
      </c>
      <c r="L489" s="464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Unicomfort II úch.lišta 2,7m str.</v>
      </c>
      <c r="C490" s="185">
        <f t="shared" si="15"/>
        <v>26.438960000000002</v>
      </c>
      <c r="D490" s="409" t="s">
        <v>2872</v>
      </c>
      <c r="E490" s="409" t="s">
        <v>4685</v>
      </c>
      <c r="F490" s="409" t="s">
        <v>1194</v>
      </c>
      <c r="G490" s="409" t="s">
        <v>4686</v>
      </c>
      <c r="H490" s="465">
        <v>735.32795999999996</v>
      </c>
      <c r="I490" s="465">
        <v>26.438960000000002</v>
      </c>
      <c r="J490" s="465">
        <v>90.916880000000006</v>
      </c>
      <c r="K490" s="465">
        <v>10537.596079999999</v>
      </c>
      <c r="L490" s="464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horné vedenie 2m strieborná</v>
      </c>
      <c r="C491" s="185">
        <f t="shared" si="15"/>
        <v>24.565329999999999</v>
      </c>
      <c r="D491" s="409" t="s">
        <v>2948</v>
      </c>
      <c r="E491" s="409" t="s">
        <v>4687</v>
      </c>
      <c r="F491" s="409" t="s">
        <v>4688</v>
      </c>
      <c r="G491" s="409" t="s">
        <v>4689</v>
      </c>
      <c r="H491" s="465">
        <v>683.21807999999999</v>
      </c>
      <c r="I491" s="465">
        <v>24.565329999999999</v>
      </c>
      <c r="J491" s="465">
        <v>85.741200000000006</v>
      </c>
      <c r="K491" s="465">
        <v>9790.83698</v>
      </c>
      <c r="L491" s="464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tlmič dorazu 10/18mm 14-25kg L+P</v>
      </c>
      <c r="C492" s="185">
        <f t="shared" si="15"/>
        <v>25.710319999999999</v>
      </c>
      <c r="D492" s="409" t="s">
        <v>3138</v>
      </c>
      <c r="E492" s="409" t="s">
        <v>4690</v>
      </c>
      <c r="F492" s="409" t="s">
        <v>4691</v>
      </c>
      <c r="G492" s="409" t="s">
        <v>4692</v>
      </c>
      <c r="H492" s="465">
        <v>758.78985999999998</v>
      </c>
      <c r="I492" s="465">
        <v>25.710319999999999</v>
      </c>
      <c r="J492" s="465">
        <v>89.555999999999997</v>
      </c>
      <c r="K492" s="465">
        <v>10537.595579999999</v>
      </c>
      <c r="L492" s="464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tlmič dorazu 10/18mm 25-50kg L+P</v>
      </c>
      <c r="C493" s="185">
        <f t="shared" si="15"/>
        <v>25.710319999999999</v>
      </c>
      <c r="D493" s="409" t="s">
        <v>3139</v>
      </c>
      <c r="E493" s="409" t="s">
        <v>4693</v>
      </c>
      <c r="F493" s="409" t="s">
        <v>4694</v>
      </c>
      <c r="G493" s="409" t="s">
        <v>4695</v>
      </c>
      <c r="H493" s="465">
        <v>758.78985999999998</v>
      </c>
      <c r="I493" s="465">
        <v>25.710319999999999</v>
      </c>
      <c r="J493" s="465">
        <v>89.555999999999997</v>
      </c>
      <c r="K493" s="465">
        <v>10537.595579999999</v>
      </c>
      <c r="L493" s="464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Doubler II spodné vedenie 3m str.</v>
      </c>
      <c r="C494" s="185">
        <f t="shared" si="15"/>
        <v>25.580220000000001</v>
      </c>
      <c r="D494" s="409" t="s">
        <v>2885</v>
      </c>
      <c r="E494" s="409" t="s">
        <v>4696</v>
      </c>
      <c r="F494" s="409" t="s">
        <v>1255</v>
      </c>
      <c r="G494" s="409" t="s">
        <v>4697</v>
      </c>
      <c r="H494" s="465">
        <v>711.44425999999999</v>
      </c>
      <c r="I494" s="465">
        <v>25.580220000000001</v>
      </c>
      <c r="J494" s="465">
        <v>94.115399999999994</v>
      </c>
      <c r="K494" s="465">
        <v>10195.33136</v>
      </c>
      <c r="L494" s="464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spojovacia lišta H30 3m oliva</v>
      </c>
      <c r="C495" s="185">
        <f t="shared" si="15"/>
        <v>27.45384</v>
      </c>
      <c r="D495" s="409" t="s">
        <v>2691</v>
      </c>
      <c r="E495" s="409" t="s">
        <v>4698</v>
      </c>
      <c r="F495" s="409" t="s">
        <v>4699</v>
      </c>
      <c r="G495" s="409" t="s">
        <v>2691</v>
      </c>
      <c r="H495" s="465">
        <v>763.55412999999999</v>
      </c>
      <c r="I495" s="465">
        <v>27.45384</v>
      </c>
      <c r="J495" s="465">
        <v>94.406800000000004</v>
      </c>
      <c r="K495" s="465">
        <v>10942.09044</v>
      </c>
      <c r="L495" s="464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Pax úchytová lišta 3m strieborná</v>
      </c>
      <c r="C496" s="185">
        <f t="shared" si="15"/>
        <v>23.003979999999999</v>
      </c>
      <c r="D496" s="409" t="s">
        <v>3224</v>
      </c>
      <c r="E496" s="409" t="s">
        <v>4700</v>
      </c>
      <c r="F496" s="409" t="s">
        <v>1117</v>
      </c>
      <c r="G496" s="409" t="s">
        <v>4701</v>
      </c>
      <c r="H496" s="465">
        <v>639.79319999999996</v>
      </c>
      <c r="I496" s="465">
        <v>23.003979999999999</v>
      </c>
      <c r="J496" s="465">
        <v>87.771000000000001</v>
      </c>
      <c r="K496" s="465">
        <v>9168.5380100000002</v>
      </c>
      <c r="L496" s="464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85615 Lux III úchytová lišta 2,7m oliva</v>
      </c>
      <c r="C497" s="185">
        <f t="shared" si="15"/>
        <v>0</v>
      </c>
      <c r="D497" s="409" t="s">
        <v>2941</v>
      </c>
      <c r="E497" s="409" t="s">
        <v>4702</v>
      </c>
      <c r="F497" s="409" t="s">
        <v>2941</v>
      </c>
      <c r="G497" s="409" t="s">
        <v>4703</v>
      </c>
      <c r="H497" s="465">
        <v>0</v>
      </c>
      <c r="I497" s="465">
        <v>0</v>
      </c>
      <c r="J497" s="465">
        <v>0</v>
      </c>
      <c r="K497" s="465">
        <v>0</v>
      </c>
      <c r="L497" s="464" t="s">
        <v>540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úchytová lišta 2,7m oliva</v>
      </c>
      <c r="C498" s="185">
        <f t="shared" si="15"/>
        <v>30.60258</v>
      </c>
      <c r="D498" s="409" t="s">
        <v>2873</v>
      </c>
      <c r="E498" s="409" t="s">
        <v>4704</v>
      </c>
      <c r="F498" s="409" t="s">
        <v>2873</v>
      </c>
      <c r="G498" s="409" t="s">
        <v>4705</v>
      </c>
      <c r="H498" s="465">
        <v>851.12764000000004</v>
      </c>
      <c r="I498" s="465">
        <v>30.60258</v>
      </c>
      <c r="J498" s="465">
        <v>105.2345</v>
      </c>
      <c r="K498" s="465">
        <v>12197.06</v>
      </c>
      <c r="L498" s="464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Simple horné vedenie 4m strieborná</v>
      </c>
      <c r="C499" s="185">
        <f t="shared" si="15"/>
        <v>28.624860000000002</v>
      </c>
      <c r="D499" s="409" t="s">
        <v>3086</v>
      </c>
      <c r="E499" s="409" t="s">
        <v>4706</v>
      </c>
      <c r="F499" s="409" t="s">
        <v>1049</v>
      </c>
      <c r="G499" s="409" t="s">
        <v>4707</v>
      </c>
      <c r="H499" s="465">
        <v>787.53152999999998</v>
      </c>
      <c r="I499" s="465">
        <v>28.624860000000002</v>
      </c>
      <c r="J499" s="465">
        <v>105.13754</v>
      </c>
      <c r="K499" s="465">
        <v>11639.762140000001</v>
      </c>
      <c r="L499" s="464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horná vodiaca lišta 3m strieborná</v>
      </c>
      <c r="C500" s="185">
        <f t="shared" si="15"/>
        <v>22.587620000000001</v>
      </c>
      <c r="D500" s="409" t="s">
        <v>3225</v>
      </c>
      <c r="E500" s="409" t="s">
        <v>4708</v>
      </c>
      <c r="F500" s="409" t="s">
        <v>4709</v>
      </c>
      <c r="G500" s="409" t="s">
        <v>4710</v>
      </c>
      <c r="H500" s="465">
        <v>628.21325000000002</v>
      </c>
      <c r="I500" s="465">
        <v>22.587620000000001</v>
      </c>
      <c r="J500" s="465">
        <v>86.302199999999999</v>
      </c>
      <c r="K500" s="465">
        <v>9002.5918500000007</v>
      </c>
      <c r="L500" s="464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úchytová lišta 2,7m strieborná</v>
      </c>
      <c r="C501" s="185">
        <f t="shared" si="15"/>
        <v>25.21069</v>
      </c>
      <c r="D501" s="409" t="s">
        <v>2795</v>
      </c>
      <c r="E501" s="409" t="s">
        <v>4711</v>
      </c>
      <c r="F501" s="409" t="s">
        <v>4712</v>
      </c>
      <c r="G501" s="409" t="s">
        <v>4713</v>
      </c>
      <c r="H501" s="465">
        <v>701.31179999999995</v>
      </c>
      <c r="I501" s="465">
        <v>25.21069</v>
      </c>
      <c r="J501" s="465">
        <v>90.78</v>
      </c>
      <c r="K501" s="465">
        <v>10050.128409999999</v>
      </c>
      <c r="L501" s="464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spodné vedenie 3m oliva</v>
      </c>
      <c r="C502" s="185">
        <f t="shared" si="15"/>
        <v>31.981780000000001</v>
      </c>
      <c r="D502" s="409" t="s">
        <v>2889</v>
      </c>
      <c r="E502" s="409" t="s">
        <v>4714</v>
      </c>
      <c r="F502" s="409" t="s">
        <v>4715</v>
      </c>
      <c r="G502" s="409" t="s">
        <v>4716</v>
      </c>
      <c r="H502" s="465">
        <v>889.48626999999999</v>
      </c>
      <c r="I502" s="465">
        <v>31.981780000000001</v>
      </c>
      <c r="J502" s="465">
        <v>109.97721</v>
      </c>
      <c r="K502" s="465">
        <v>12746.75729</v>
      </c>
      <c r="L502" s="464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str">
        <f t="shared" si="14"/>
        <v>SEVROLL Porto úchytová lišta 2,7m oliva</v>
      </c>
      <c r="C503" s="185" t="e">
        <f t="shared" si="15"/>
        <v>#N/A</v>
      </c>
      <c r="D503" s="409" t="s">
        <v>3302</v>
      </c>
      <c r="E503" s="409" t="s">
        <v>4717</v>
      </c>
      <c r="F503" s="409" t="s">
        <v>1114</v>
      </c>
      <c r="G503" s="409" t="s">
        <v>4718</v>
      </c>
      <c r="H503" s="465" t="e">
        <v>#N/A</v>
      </c>
      <c r="I503" s="465" t="e">
        <v>#N/A</v>
      </c>
      <c r="J503" s="465" t="e">
        <v>#N/A</v>
      </c>
      <c r="K503" s="465" t="e">
        <v>#N/A</v>
      </c>
      <c r="L503" s="464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str">
        <f t="shared" si="14"/>
        <v>SEVROLL Prosper II úch lišta 2 7m oliva</v>
      </c>
      <c r="C504" s="185" t="e">
        <f t="shared" si="15"/>
        <v>#N/A</v>
      </c>
      <c r="D504" s="409" t="s">
        <v>3174</v>
      </c>
      <c r="E504" s="409" t="s">
        <v>4719</v>
      </c>
      <c r="F504" s="409" t="s">
        <v>1106</v>
      </c>
      <c r="G504" s="409" t="s">
        <v>4720</v>
      </c>
      <c r="H504" s="465" t="e">
        <v>#N/A</v>
      </c>
      <c r="I504" s="465" t="e">
        <v>#N/A</v>
      </c>
      <c r="J504" s="465" t="e">
        <v>#N/A</v>
      </c>
      <c r="K504" s="465" t="e">
        <v>#N/A</v>
      </c>
      <c r="L504" s="464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str">
        <f t="shared" si="14"/>
        <v>SEVROLL Rex úchytová lišta 2,7m oliva</v>
      </c>
      <c r="C505" s="185" t="e">
        <f t="shared" si="15"/>
        <v>#N/A</v>
      </c>
      <c r="D505" s="409" t="s">
        <v>3256</v>
      </c>
      <c r="E505" s="409" t="s">
        <v>4721</v>
      </c>
      <c r="F505" s="409" t="s">
        <v>1105</v>
      </c>
      <c r="G505" s="409" t="s">
        <v>4722</v>
      </c>
      <c r="H505" s="465" t="e">
        <v>#N/A</v>
      </c>
      <c r="I505" s="465" t="e">
        <v>#N/A</v>
      </c>
      <c r="J505" s="465" t="e">
        <v>#N/A</v>
      </c>
      <c r="K505" s="465" t="e">
        <v>#N/A</v>
      </c>
      <c r="L505" s="464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str">
        <f t="shared" si="14"/>
        <v>SEVROLL Maxim II spodné vedenie 3,5m oliva</v>
      </c>
      <c r="C506" s="185" t="e">
        <f t="shared" si="15"/>
        <v>#N/A</v>
      </c>
      <c r="D506" s="409" t="s">
        <v>3269</v>
      </c>
      <c r="E506" s="409" t="s">
        <v>4723</v>
      </c>
      <c r="F506" s="409" t="s">
        <v>1128</v>
      </c>
      <c r="G506" s="409" t="s">
        <v>4724</v>
      </c>
      <c r="H506" s="465" t="e">
        <v>#N/A</v>
      </c>
      <c r="I506" s="465" t="e">
        <v>#N/A</v>
      </c>
      <c r="J506" s="465" t="e">
        <v>#N/A</v>
      </c>
      <c r="K506" s="465" t="e">
        <v>#N/A</v>
      </c>
      <c r="L506" s="464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horné vedenie 3m oliva</v>
      </c>
      <c r="C507" s="185">
        <f t="shared" si="15"/>
        <v>31.227119999999999</v>
      </c>
      <c r="D507" s="409" t="s">
        <v>2636</v>
      </c>
      <c r="E507" s="409" t="s">
        <v>4725</v>
      </c>
      <c r="F507" s="409" t="s">
        <v>4726</v>
      </c>
      <c r="G507" s="409" t="s">
        <v>2636</v>
      </c>
      <c r="H507" s="465">
        <v>868.49757999999997</v>
      </c>
      <c r="I507" s="465">
        <v>31.227119999999999</v>
      </c>
      <c r="J507" s="465">
        <v>107.38215</v>
      </c>
      <c r="K507" s="465">
        <v>12445.979429999999</v>
      </c>
      <c r="L507" s="464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01011 Gemini horné vedenie 3m zlatá</v>
      </c>
      <c r="C508" s="185">
        <f t="shared" si="15"/>
        <v>31.227119999999999</v>
      </c>
      <c r="D508" s="409" t="s">
        <v>2635</v>
      </c>
      <c r="E508" s="409" t="s">
        <v>4727</v>
      </c>
      <c r="F508" s="409" t="s">
        <v>4728</v>
      </c>
      <c r="G508" s="409" t="s">
        <v>2635</v>
      </c>
      <c r="H508" s="465">
        <v>868.49757999999997</v>
      </c>
      <c r="I508" s="465">
        <v>31.227119999999999</v>
      </c>
      <c r="J508" s="465">
        <v>107.38215</v>
      </c>
      <c r="K508" s="465">
        <v>12445.979429999999</v>
      </c>
      <c r="L508" s="464" t="s">
        <v>538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Everest vodiaca lišta 3m strieborná</v>
      </c>
      <c r="C509" s="185">
        <f t="shared" si="15"/>
        <v>25.60624</v>
      </c>
      <c r="D509" s="409" t="s">
        <v>2783</v>
      </c>
      <c r="E509" s="409" t="s">
        <v>4729</v>
      </c>
      <c r="F509" s="409" t="s">
        <v>1254</v>
      </c>
      <c r="G509" s="409" t="s">
        <v>4730</v>
      </c>
      <c r="H509" s="465">
        <v>712.16800000000001</v>
      </c>
      <c r="I509" s="465">
        <v>25.60624</v>
      </c>
      <c r="J509" s="465">
        <v>89.321399999999997</v>
      </c>
      <c r="K509" s="465">
        <v>10205.70297</v>
      </c>
      <c r="L509" s="464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Hide N spodné vedenie 6m oliva</v>
      </c>
      <c r="C510" s="185">
        <f t="shared" si="15"/>
        <v>29.821899999999999</v>
      </c>
      <c r="D510" s="409" t="s">
        <v>3229</v>
      </c>
      <c r="E510" s="409" t="s">
        <v>4731</v>
      </c>
      <c r="F510" s="409" t="s">
        <v>4732</v>
      </c>
      <c r="G510" s="409" t="s">
        <v>4733</v>
      </c>
      <c r="H510" s="465">
        <v>790.62959000000001</v>
      </c>
      <c r="I510" s="465">
        <v>29.821899999999999</v>
      </c>
      <c r="J510" s="465">
        <v>101.74397</v>
      </c>
      <c r="K510" s="465">
        <v>11549.06285</v>
      </c>
      <c r="L510" s="464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Everest vodiaca lišta 3m oliva</v>
      </c>
      <c r="C511" s="185">
        <f t="shared" si="15"/>
        <v>29.89997</v>
      </c>
      <c r="D511" s="409" t="s">
        <v>3294</v>
      </c>
      <c r="E511" s="409" t="s">
        <v>4734</v>
      </c>
      <c r="F511" s="409" t="s">
        <v>1176</v>
      </c>
      <c r="G511" s="409" t="s">
        <v>4735</v>
      </c>
      <c r="H511" s="465">
        <v>831.58642999999995</v>
      </c>
      <c r="I511" s="465">
        <v>29.89997</v>
      </c>
      <c r="J511" s="465">
        <v>102.81841</v>
      </c>
      <c r="K511" s="465">
        <v>11917.02533</v>
      </c>
      <c r="L511" s="464" t="s">
        <v>539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spodné vedenie 4,05m biela lesk</v>
      </c>
      <c r="C512" s="185">
        <f t="shared" si="15"/>
        <v>25.059760000000001</v>
      </c>
      <c r="D512" s="409" t="s">
        <v>3433</v>
      </c>
      <c r="E512" s="409" t="s">
        <v>4736</v>
      </c>
      <c r="F512" s="409" t="s">
        <v>4737</v>
      </c>
      <c r="G512" s="409" t="s">
        <v>4738</v>
      </c>
      <c r="H512" s="465">
        <v>696.96929999999998</v>
      </c>
      <c r="I512" s="465">
        <v>25.059760000000001</v>
      </c>
      <c r="J512" s="465">
        <v>99.8172</v>
      </c>
      <c r="K512" s="465">
        <v>9987.8983700000008</v>
      </c>
      <c r="L512" s="464" t="s">
        <v>539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Star úchytová lišta 2,7m strieborná</v>
      </c>
      <c r="C513" s="185">
        <f t="shared" si="15"/>
        <v>26.52224</v>
      </c>
      <c r="D513" s="409" t="s">
        <v>2986</v>
      </c>
      <c r="E513" s="409" t="s">
        <v>4739</v>
      </c>
      <c r="F513" s="409" t="s">
        <v>1098</v>
      </c>
      <c r="G513" s="409" t="s">
        <v>4740</v>
      </c>
      <c r="H513" s="465">
        <v>737.49919</v>
      </c>
      <c r="I513" s="465">
        <v>26.52224</v>
      </c>
      <c r="J513" s="465">
        <v>96.298199999999994</v>
      </c>
      <c r="K513" s="465">
        <v>10568.71089</v>
      </c>
      <c r="L513" s="464" t="s">
        <v>539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HORNÉ VEDENIE 3 m strieborná</v>
      </c>
      <c r="C514" s="185">
        <f t="shared" si="15"/>
        <v>26.412939999999999</v>
      </c>
      <c r="D514" s="409" t="s">
        <v>2730</v>
      </c>
      <c r="E514" s="409" t="s">
        <v>4741</v>
      </c>
      <c r="F514" s="409" t="s">
        <v>4742</v>
      </c>
      <c r="G514" s="409" t="s">
        <v>2730</v>
      </c>
      <c r="H514" s="465">
        <v>700.25221999999997</v>
      </c>
      <c r="I514" s="465">
        <v>26.412939999999999</v>
      </c>
      <c r="J514" s="465">
        <v>90.113560000000007</v>
      </c>
      <c r="K514" s="465">
        <v>10228.88206</v>
      </c>
      <c r="L514" s="464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Symetric sada kovania pre 2 krídla</v>
      </c>
      <c r="C515" s="185">
        <f t="shared" si="15"/>
        <v>39.970709999999997</v>
      </c>
      <c r="D515" s="409" t="s">
        <v>3125</v>
      </c>
      <c r="E515" s="409" t="s">
        <v>4743</v>
      </c>
      <c r="F515" s="409" t="s">
        <v>4744</v>
      </c>
      <c r="G515" s="409" t="s">
        <v>4745</v>
      </c>
      <c r="H515" s="465">
        <v>1059.69202</v>
      </c>
      <c r="I515" s="465">
        <v>39.970709999999997</v>
      </c>
      <c r="J515" s="465">
        <v>136.36887999999999</v>
      </c>
      <c r="K515" s="465">
        <v>15479.372139999999</v>
      </c>
      <c r="L515" s="464" t="s">
        <v>539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str">
        <f t="shared" ref="B516:B579" si="16">IF($A$2=1,D516,IF($A$2=2,F516,IF($A$2=3,G516,IF($A$2=4,E516,IF($A$2&gt;4,P516,"zadat jazyk")))))</f>
        <v>SEVROLL Herkules sada kovania 60kg</v>
      </c>
      <c r="C516" s="185" t="e">
        <f t="shared" ref="C516:C579" si="17">IF($A$2=1,H516,IF($A$2=2,I516,IF($A$2=3,J516,IF($A$2=4,K516,IF($A$2&gt;4,O516,"zadat jazyk")))))</f>
        <v>#N/A</v>
      </c>
      <c r="D516" s="409" t="s">
        <v>3067</v>
      </c>
      <c r="E516" s="409" t="s">
        <v>4746</v>
      </c>
      <c r="F516" s="409" t="s">
        <v>1153</v>
      </c>
      <c r="G516" s="409" t="s">
        <v>4747</v>
      </c>
      <c r="H516" s="465" t="e">
        <v>#N/A</v>
      </c>
      <c r="I516" s="465" t="e">
        <v>#N/A</v>
      </c>
      <c r="J516" s="465" t="e">
        <v>#N/A</v>
      </c>
      <c r="K516" s="465" t="e">
        <v>#N/A</v>
      </c>
      <c r="L516" s="464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str">
        <f t="shared" si="16"/>
        <v>SEVROLL 219-070 Herkules-synchro mechanika for 2x50kg</v>
      </c>
      <c r="C517" s="185" t="e">
        <f t="shared" si="17"/>
        <v>#N/A</v>
      </c>
      <c r="D517" s="409" t="s">
        <v>2722</v>
      </c>
      <c r="E517" s="409" t="s">
        <v>4748</v>
      </c>
      <c r="F517" s="409" t="s">
        <v>2722</v>
      </c>
      <c r="G517" s="409" t="s">
        <v>4749</v>
      </c>
      <c r="H517" s="465" t="e">
        <v>#N/A</v>
      </c>
      <c r="I517" s="465" t="e">
        <v>#N/A</v>
      </c>
      <c r="J517" s="465" t="e">
        <v>#N/A</v>
      </c>
      <c r="K517" s="465" t="e">
        <v>#N/A</v>
      </c>
      <c r="L517" s="464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spojovacia lišta H30 3m biela lesk</v>
      </c>
      <c r="C518" s="185">
        <f t="shared" si="17"/>
        <v>13.58775</v>
      </c>
      <c r="D518" s="409" t="s">
        <v>3297</v>
      </c>
      <c r="E518" s="409" t="s">
        <v>4750</v>
      </c>
      <c r="F518" s="409" t="s">
        <v>4751</v>
      </c>
      <c r="G518" s="409" t="s">
        <v>4752</v>
      </c>
      <c r="H518" s="465">
        <v>323.88938999999999</v>
      </c>
      <c r="I518" s="465">
        <v>13.58775</v>
      </c>
      <c r="J518" s="465">
        <v>58.634599999999999</v>
      </c>
      <c r="K518" s="465">
        <v>5037.16003</v>
      </c>
      <c r="L518" s="464" t="s">
        <v>540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krycí profil Galaxy 6m</v>
      </c>
      <c r="C519" s="185">
        <f t="shared" si="17"/>
        <v>34.818240000000003</v>
      </c>
      <c r="D519" s="409" t="s">
        <v>3244</v>
      </c>
      <c r="E519" s="409" t="s">
        <v>4753</v>
      </c>
      <c r="F519" s="409" t="s">
        <v>1142</v>
      </c>
      <c r="G519" s="409" t="s">
        <v>4754</v>
      </c>
      <c r="H519" s="465">
        <v>923.09109000000001</v>
      </c>
      <c r="I519" s="465">
        <v>34.818240000000003</v>
      </c>
      <c r="J519" s="465">
        <v>118.79007</v>
      </c>
      <c r="K519" s="465">
        <v>13483.98425</v>
      </c>
      <c r="L519" s="464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str">
        <f t="shared" si="16"/>
        <v>SEVROLL SPODNÉ VED. MAXIM II 4,3M STR.</v>
      </c>
      <c r="C520" s="185" t="e">
        <f t="shared" si="17"/>
        <v>#N/A</v>
      </c>
      <c r="D520" s="409" t="s">
        <v>2912</v>
      </c>
      <c r="E520" s="409" t="s">
        <v>4755</v>
      </c>
      <c r="F520" s="409" t="s">
        <v>4756</v>
      </c>
      <c r="G520" s="409" t="s">
        <v>4757</v>
      </c>
      <c r="H520" s="465" t="e">
        <v>#N/A</v>
      </c>
      <c r="I520" s="465" t="e">
        <v>#N/A</v>
      </c>
      <c r="J520" s="465" t="e">
        <v>#N/A</v>
      </c>
      <c r="K520" s="465" t="e">
        <v>#N/A</v>
      </c>
      <c r="L520" s="464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9" t="e">
        <v>#N/A</v>
      </c>
      <c r="E521" s="409" t="e">
        <v>#N/A</v>
      </c>
      <c r="F521" s="409" t="e">
        <v>#N/A</v>
      </c>
      <c r="G521" s="409" t="e">
        <v>#N/A</v>
      </c>
      <c r="H521" s="465" t="e">
        <v>#N/A</v>
      </c>
      <c r="I521" s="465" t="e">
        <v>#N/A</v>
      </c>
      <c r="J521" s="465" t="e">
        <v>#N/A</v>
      </c>
      <c r="K521" s="465" t="e">
        <v>#N/A</v>
      </c>
      <c r="L521" s="464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úchytová lišta 2,7m biela lesk</v>
      </c>
      <c r="C522" s="185">
        <f t="shared" si="17"/>
        <v>26.90737</v>
      </c>
      <c r="D522" s="409" t="s">
        <v>3247</v>
      </c>
      <c r="E522" s="409" t="s">
        <v>4758</v>
      </c>
      <c r="F522" s="409" t="s">
        <v>4759</v>
      </c>
      <c r="G522" s="409" t="s">
        <v>4760</v>
      </c>
      <c r="H522" s="465">
        <v>748.35540000000003</v>
      </c>
      <c r="I522" s="465">
        <v>26.90737</v>
      </c>
      <c r="J522" s="465">
        <v>102.67319999999999</v>
      </c>
      <c r="K522" s="465">
        <v>10724.285449999999</v>
      </c>
      <c r="L522" s="464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úchytová lišta 2,7m oliva</v>
      </c>
      <c r="C523" s="185">
        <f t="shared" si="17"/>
        <v>31.513369999999998</v>
      </c>
      <c r="D523" s="409" t="s">
        <v>2796</v>
      </c>
      <c r="E523" s="409" t="s">
        <v>4761</v>
      </c>
      <c r="F523" s="409" t="s">
        <v>2796</v>
      </c>
      <c r="G523" s="409" t="s">
        <v>4762</v>
      </c>
      <c r="H523" s="465">
        <v>876.4588</v>
      </c>
      <c r="I523" s="465">
        <v>31.513369999999998</v>
      </c>
      <c r="J523" s="465">
        <v>108.36648</v>
      </c>
      <c r="K523" s="465">
        <v>12560.067520000001</v>
      </c>
      <c r="L523" s="464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str">
        <f t="shared" si="16"/>
        <v>SEVROLL Simple horné vedenie 4m oliva</v>
      </c>
      <c r="C524" s="185" t="e">
        <f t="shared" si="17"/>
        <v>#N/A</v>
      </c>
      <c r="D524" s="409" t="s">
        <v>3096</v>
      </c>
      <c r="E524" s="409" t="s">
        <v>4763</v>
      </c>
      <c r="F524" s="409" t="s">
        <v>4764</v>
      </c>
      <c r="G524" s="409" t="s">
        <v>4765</v>
      </c>
      <c r="H524" s="465" t="e">
        <v>#N/A</v>
      </c>
      <c r="I524" s="465" t="e">
        <v>#N/A</v>
      </c>
      <c r="J524" s="465" t="e">
        <v>#N/A</v>
      </c>
      <c r="K524" s="465" t="e">
        <v>#N/A</v>
      </c>
      <c r="L524" s="464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HOR. VEDENIE COMFORT 1,70 M STR.</v>
      </c>
      <c r="C525" s="185">
        <f t="shared" si="17"/>
        <v>30.082129999999999</v>
      </c>
      <c r="D525" s="409" t="s">
        <v>2789</v>
      </c>
      <c r="E525" s="409" t="s">
        <v>4766</v>
      </c>
      <c r="F525" s="409" t="s">
        <v>4767</v>
      </c>
      <c r="G525" s="409" t="s">
        <v>4768</v>
      </c>
      <c r="H525" s="465">
        <v>836.65268000000003</v>
      </c>
      <c r="I525" s="465">
        <v>30.082129999999999</v>
      </c>
      <c r="J525" s="465">
        <v>108.3036</v>
      </c>
      <c r="K525" s="465">
        <v>11989.627</v>
      </c>
      <c r="L525" s="464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spodné vedenie  6m strieborná</v>
      </c>
      <c r="C526" s="185">
        <f t="shared" si="17"/>
        <v>28.596229999999998</v>
      </c>
      <c r="D526" s="409" t="s">
        <v>2880</v>
      </c>
      <c r="E526" s="409" t="s">
        <v>4769</v>
      </c>
      <c r="F526" s="409" t="s">
        <v>4770</v>
      </c>
      <c r="G526" s="409" t="s">
        <v>4771</v>
      </c>
      <c r="H526" s="465">
        <v>795.39903000000004</v>
      </c>
      <c r="I526" s="465">
        <v>28.596229999999998</v>
      </c>
      <c r="J526" s="465">
        <v>105.53084</v>
      </c>
      <c r="K526" s="465">
        <v>11398.442849999999</v>
      </c>
      <c r="L526" s="464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horné vedenie 3m oliva</v>
      </c>
      <c r="C527" s="185">
        <f t="shared" si="17"/>
        <v>32.163930000000001</v>
      </c>
      <c r="D527" s="409" t="s">
        <v>2729</v>
      </c>
      <c r="E527" s="409" t="s">
        <v>4772</v>
      </c>
      <c r="F527" s="409" t="s">
        <v>4773</v>
      </c>
      <c r="G527" s="409" t="s">
        <v>4774</v>
      </c>
      <c r="H527" s="465">
        <v>852.72091999999998</v>
      </c>
      <c r="I527" s="465">
        <v>32.163930000000001</v>
      </c>
      <c r="J527" s="465">
        <v>109.73432</v>
      </c>
      <c r="K527" s="465">
        <v>12456.057290000001</v>
      </c>
      <c r="L527" s="464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9" t="e">
        <v>#N/A</v>
      </c>
      <c r="E528" s="409" t="e">
        <v>#N/A</v>
      </c>
      <c r="F528" s="409" t="e">
        <v>#N/A</v>
      </c>
      <c r="G528" s="409" t="e">
        <v>#N/A</v>
      </c>
      <c r="H528" s="465" t="e">
        <v>#N/A</v>
      </c>
      <c r="I528" s="465" t="e">
        <v>#N/A</v>
      </c>
      <c r="J528" s="465" t="e">
        <v>#N/A</v>
      </c>
      <c r="K528" s="465" t="e">
        <v>#N/A</v>
      </c>
      <c r="L528" s="464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Maxim horné vedenie 2,5m str.</v>
      </c>
      <c r="C529" s="185">
        <f t="shared" si="17"/>
        <v>28.511769999999999</v>
      </c>
      <c r="D529" s="409" t="s">
        <v>2811</v>
      </c>
      <c r="E529" s="409" t="s">
        <v>4775</v>
      </c>
      <c r="F529" s="409" t="s">
        <v>1230</v>
      </c>
      <c r="G529" s="409" t="s">
        <v>4776</v>
      </c>
      <c r="H529" s="465">
        <v>753.52733999999998</v>
      </c>
      <c r="I529" s="465">
        <v>28.511769999999999</v>
      </c>
      <c r="J529" s="465">
        <v>101.0287</v>
      </c>
      <c r="K529" s="465">
        <v>11198.092360000001</v>
      </c>
      <c r="L529" s="464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str">
        <f t="shared" si="16"/>
        <v>SEVROLL 214-426 Herkules 2 horné vedenie 2,4m alu</v>
      </c>
      <c r="C530" s="185" t="e">
        <f t="shared" si="17"/>
        <v>#N/A</v>
      </c>
      <c r="D530" s="409" t="s">
        <v>2721</v>
      </c>
      <c r="E530" s="409" t="s">
        <v>4777</v>
      </c>
      <c r="F530" s="409" t="s">
        <v>4778</v>
      </c>
      <c r="G530" s="409" t="s">
        <v>4779</v>
      </c>
      <c r="H530" s="465" t="e">
        <v>#N/A</v>
      </c>
      <c r="I530" s="465" t="e">
        <v>#N/A</v>
      </c>
      <c r="J530" s="465" t="e">
        <v>#N/A</v>
      </c>
      <c r="K530" s="465" t="e">
        <v>#N/A</v>
      </c>
      <c r="L530" s="464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horné vedenie 3m surová</v>
      </c>
      <c r="C531" s="185">
        <f t="shared" si="17"/>
        <v>38.721629999999998</v>
      </c>
      <c r="D531" s="409" t="s">
        <v>2841</v>
      </c>
      <c r="E531" s="409" t="s">
        <v>4780</v>
      </c>
      <c r="F531" s="409" t="s">
        <v>4781</v>
      </c>
      <c r="G531" s="409" t="s">
        <v>4782</v>
      </c>
      <c r="H531" s="465">
        <v>1026.57664</v>
      </c>
      <c r="I531" s="465">
        <v>38.721629999999998</v>
      </c>
      <c r="J531" s="465">
        <v>132.10735</v>
      </c>
      <c r="K531" s="465">
        <v>14995.641670000001</v>
      </c>
      <c r="L531" s="464" t="s">
        <v>539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horné vedenie  4m strieborná</v>
      </c>
      <c r="C532" s="185">
        <f t="shared" si="17"/>
        <v>30.186219999999999</v>
      </c>
      <c r="D532" s="409" t="s">
        <v>3397</v>
      </c>
      <c r="E532" s="409" t="s">
        <v>4783</v>
      </c>
      <c r="F532" s="409" t="s">
        <v>4784</v>
      </c>
      <c r="G532" s="409" t="s">
        <v>2407</v>
      </c>
      <c r="H532" s="465">
        <v>830.48779000000002</v>
      </c>
      <c r="I532" s="465">
        <v>30.186219999999999</v>
      </c>
      <c r="J532" s="465">
        <v>107.34003</v>
      </c>
      <c r="K532" s="465">
        <v>12274.65825</v>
      </c>
      <c r="L532" s="464" t="s">
        <v>695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horné vedenie 2,4m strieborná</v>
      </c>
      <c r="C533" s="185">
        <f t="shared" si="17"/>
        <v>29.45758</v>
      </c>
      <c r="D533" s="409" t="s">
        <v>2949</v>
      </c>
      <c r="E533" s="409" t="s">
        <v>4785</v>
      </c>
      <c r="F533" s="409" t="s">
        <v>4786</v>
      </c>
      <c r="G533" s="409" t="s">
        <v>4787</v>
      </c>
      <c r="H533" s="465">
        <v>819.28270999999995</v>
      </c>
      <c r="I533" s="465">
        <v>29.45758</v>
      </c>
      <c r="J533" s="465">
        <v>102.816</v>
      </c>
      <c r="K533" s="465">
        <v>11740.70717</v>
      </c>
      <c r="L533" s="464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úchytová lišta 2,7m oliva</v>
      </c>
      <c r="C534" s="185">
        <f t="shared" si="17"/>
        <v>37.810839999999999</v>
      </c>
      <c r="D534" s="409" t="s">
        <v>2908</v>
      </c>
      <c r="E534" s="409" t="s">
        <v>4788</v>
      </c>
      <c r="F534" s="409" t="s">
        <v>2908</v>
      </c>
      <c r="G534" s="409" t="s">
        <v>4789</v>
      </c>
      <c r="H534" s="465">
        <v>1051.60581</v>
      </c>
      <c r="I534" s="465">
        <v>37.810839999999999</v>
      </c>
      <c r="J534" s="465">
        <v>131.2638</v>
      </c>
      <c r="K534" s="465">
        <v>15070.00663</v>
      </c>
      <c r="L534" s="464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horné vedenie 4,05m strieborná</v>
      </c>
      <c r="C535" s="185">
        <f t="shared" si="17"/>
        <v>33.67324</v>
      </c>
      <c r="D535" s="409" t="s">
        <v>2640</v>
      </c>
      <c r="E535" s="409" t="s">
        <v>4790</v>
      </c>
      <c r="F535" s="409" t="s">
        <v>4791</v>
      </c>
      <c r="G535" s="409" t="s">
        <v>2640</v>
      </c>
      <c r="H535" s="465">
        <v>936.52988000000005</v>
      </c>
      <c r="I535" s="465">
        <v>33.67324</v>
      </c>
      <c r="J535" s="465">
        <v>124.31495</v>
      </c>
      <c r="K535" s="465">
        <v>13420.91432</v>
      </c>
      <c r="L535" s="464" t="s">
        <v>695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Exclusive horné vedenie 3m strieborn</v>
      </c>
      <c r="C536" s="185">
        <f t="shared" si="17"/>
        <v>32.554270000000002</v>
      </c>
      <c r="D536" s="409" t="s">
        <v>2785</v>
      </c>
      <c r="E536" s="409" t="s">
        <v>4792</v>
      </c>
      <c r="F536" s="409" t="s">
        <v>1171</v>
      </c>
      <c r="G536" s="409" t="s">
        <v>4793</v>
      </c>
      <c r="H536" s="465">
        <v>863.06946000000005</v>
      </c>
      <c r="I536" s="465">
        <v>32.554270000000002</v>
      </c>
      <c r="J536" s="465">
        <v>111.06605999999999</v>
      </c>
      <c r="K536" s="465">
        <v>12607.22285</v>
      </c>
      <c r="L536" s="464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výztuha 3m strieborná</v>
      </c>
      <c r="C537" s="185">
        <f t="shared" si="17"/>
        <v>28.963149999999999</v>
      </c>
      <c r="D537" s="409" t="s">
        <v>3245</v>
      </c>
      <c r="E537" s="409" t="s">
        <v>4794</v>
      </c>
      <c r="F537" s="409" t="s">
        <v>4795</v>
      </c>
      <c r="G537" s="409" t="s">
        <v>4796</v>
      </c>
      <c r="H537" s="465">
        <v>805.53148999999996</v>
      </c>
      <c r="I537" s="465">
        <v>28.963149999999999</v>
      </c>
      <c r="J537" s="465">
        <v>101.1024</v>
      </c>
      <c r="K537" s="465">
        <v>11543.6458</v>
      </c>
      <c r="L537" s="464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Comfort horné vedenie 1,7m oliva</v>
      </c>
      <c r="C538" s="185">
        <f t="shared" si="17"/>
        <v>37.550609999999999</v>
      </c>
      <c r="D538" s="409" t="s">
        <v>2790</v>
      </c>
      <c r="E538" s="409" t="s">
        <v>4797</v>
      </c>
      <c r="F538" s="409" t="s">
        <v>1187</v>
      </c>
      <c r="G538" s="409" t="s">
        <v>4798</v>
      </c>
      <c r="H538" s="465">
        <v>1044.36833</v>
      </c>
      <c r="I538" s="465">
        <v>37.550609999999999</v>
      </c>
      <c r="J538" s="465">
        <v>129.12701999999999</v>
      </c>
      <c r="K538" s="465">
        <v>14966.29012</v>
      </c>
      <c r="L538" s="464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Star úchytová lišta 2,7m oliva</v>
      </c>
      <c r="C539" s="185">
        <f t="shared" si="17"/>
        <v>33.152790000000003</v>
      </c>
      <c r="D539" s="409" t="s">
        <v>2987</v>
      </c>
      <c r="E539" s="409" t="s">
        <v>4799</v>
      </c>
      <c r="F539" s="409" t="s">
        <v>1099</v>
      </c>
      <c r="G539" s="409" t="s">
        <v>4800</v>
      </c>
      <c r="H539" s="465">
        <v>922.05492000000004</v>
      </c>
      <c r="I539" s="465">
        <v>33.152790000000003</v>
      </c>
      <c r="J539" s="465">
        <v>114.00405000000001</v>
      </c>
      <c r="K539" s="465">
        <v>13213.481320000001</v>
      </c>
      <c r="L539" s="464" t="s">
        <v>539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str">
        <f t="shared" si="16"/>
        <v>SEVROLL MAXIM VOD.LIŠTA 3,5 M STRIEBORNA</v>
      </c>
      <c r="C540" s="185" t="e">
        <f t="shared" si="17"/>
        <v>#N/A</v>
      </c>
      <c r="D540" s="409" t="s">
        <v>2801</v>
      </c>
      <c r="E540" s="409" t="s">
        <v>4801</v>
      </c>
      <c r="F540" s="409" t="s">
        <v>4802</v>
      </c>
      <c r="G540" s="409" t="s">
        <v>4803</v>
      </c>
      <c r="H540" s="465" t="e">
        <v>#N/A</v>
      </c>
      <c r="I540" s="465" t="e">
        <v>#N/A</v>
      </c>
      <c r="J540" s="465" t="e">
        <v>#N/A</v>
      </c>
      <c r="K540" s="465" t="e">
        <v>#N/A</v>
      </c>
      <c r="L540" s="464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Master úch.lišta 3m strieborná</v>
      </c>
      <c r="C541" s="185">
        <f t="shared" si="17"/>
        <v>28.026340000000001</v>
      </c>
      <c r="D541" s="409" t="s">
        <v>2797</v>
      </c>
      <c r="E541" s="409" t="s">
        <v>4804</v>
      </c>
      <c r="F541" s="409" t="s">
        <v>1231</v>
      </c>
      <c r="G541" s="409" t="s">
        <v>4805</v>
      </c>
      <c r="H541" s="465">
        <v>779.47658000000001</v>
      </c>
      <c r="I541" s="465">
        <v>28.026340000000001</v>
      </c>
      <c r="J541" s="465">
        <v>100.85760000000001</v>
      </c>
      <c r="K541" s="465">
        <v>11170.26665</v>
      </c>
      <c r="L541" s="464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zámok na posuvné dvere pre madlo Karat a Prosper</v>
      </c>
      <c r="C542" s="185">
        <f t="shared" si="17"/>
        <v>36.512309999999999</v>
      </c>
      <c r="D542" s="409" t="s">
        <v>3441</v>
      </c>
      <c r="E542" s="409" t="s">
        <v>4806</v>
      </c>
      <c r="F542" s="409" t="s">
        <v>4807</v>
      </c>
      <c r="G542" s="409" t="s">
        <v>4808</v>
      </c>
      <c r="H542" s="465">
        <v>1077.51234</v>
      </c>
      <c r="I542" s="465">
        <v>36.512309999999999</v>
      </c>
      <c r="J542" s="465">
        <v>134.51759999999999</v>
      </c>
      <c r="K542" s="465">
        <v>14963.812690000001</v>
      </c>
      <c r="L542" s="464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držiak pôdy skrine u šikmých stropov</v>
      </c>
      <c r="C543" s="185">
        <f t="shared" si="17"/>
        <v>29.743829999999999</v>
      </c>
      <c r="D543" s="409" t="s">
        <v>3326</v>
      </c>
      <c r="E543" s="409" t="s">
        <v>4809</v>
      </c>
      <c r="F543" s="409" t="s">
        <v>4810</v>
      </c>
      <c r="G543" s="409" t="s">
        <v>4811</v>
      </c>
      <c r="H543" s="465">
        <v>827.24392999999998</v>
      </c>
      <c r="I543" s="465">
        <v>29.743829999999999</v>
      </c>
      <c r="J543" s="465">
        <v>102.28149999999999</v>
      </c>
      <c r="K543" s="465">
        <v>11854.79528</v>
      </c>
      <c r="L543" s="464" t="s">
        <v>539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sada kování (dvoje dvere)</v>
      </c>
      <c r="C544" s="185">
        <f t="shared" si="17"/>
        <v>26.60031</v>
      </c>
      <c r="D544" s="409" t="s">
        <v>2950</v>
      </c>
      <c r="E544" s="409" t="s">
        <v>4812</v>
      </c>
      <c r="F544" s="409" t="s">
        <v>4813</v>
      </c>
      <c r="G544" s="409" t="s">
        <v>4814</v>
      </c>
      <c r="H544" s="465">
        <v>739.67043000000001</v>
      </c>
      <c r="I544" s="465">
        <v>26.60031</v>
      </c>
      <c r="J544" s="465">
        <v>92.830200000000005</v>
      </c>
      <c r="K544" s="465">
        <v>10599.82573</v>
      </c>
      <c r="L544" s="464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horná vodiaca lišta 3m biela lesk</v>
      </c>
      <c r="C545" s="185">
        <f t="shared" si="17"/>
        <v>29.353490000000001</v>
      </c>
      <c r="D545" s="409" t="s">
        <v>3249</v>
      </c>
      <c r="E545" s="409" t="s">
        <v>4815</v>
      </c>
      <c r="F545" s="409" t="s">
        <v>4816</v>
      </c>
      <c r="G545" s="409" t="s">
        <v>4817</v>
      </c>
      <c r="H545" s="465">
        <v>816.38773000000003</v>
      </c>
      <c r="I545" s="465">
        <v>29.353490000000001</v>
      </c>
      <c r="J545" s="465">
        <v>112.2</v>
      </c>
      <c r="K545" s="465">
        <v>11699.220729999999</v>
      </c>
      <c r="L545" s="464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str">
        <f t="shared" si="16"/>
        <v>SEVROLL Maxim spod.krycia lišta 2,5m 18mm strieborná</v>
      </c>
      <c r="C546" s="185" t="e">
        <f t="shared" si="17"/>
        <v>#N/A</v>
      </c>
      <c r="D546" s="409" t="s">
        <v>2804</v>
      </c>
      <c r="E546" s="409" t="s">
        <v>4818</v>
      </c>
      <c r="F546" s="409" t="s">
        <v>4819</v>
      </c>
      <c r="G546" s="409" t="s">
        <v>4820</v>
      </c>
      <c r="H546" s="465" t="e">
        <v>#N/A</v>
      </c>
      <c r="I546" s="465" t="e">
        <v>#N/A</v>
      </c>
      <c r="J546" s="465" t="e">
        <v>#N/A</v>
      </c>
      <c r="K546" s="465" t="e">
        <v>#N/A</v>
      </c>
      <c r="L546" s="464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str">
        <f t="shared" si="16"/>
        <v>SEVROLL Maxim II spodné vedenie 4,3m oliva</v>
      </c>
      <c r="C547" s="185" t="e">
        <f t="shared" si="17"/>
        <v>#N/A</v>
      </c>
      <c r="D547" s="409" t="s">
        <v>3172</v>
      </c>
      <c r="E547" s="409" t="s">
        <v>4821</v>
      </c>
      <c r="F547" s="409" t="s">
        <v>1127</v>
      </c>
      <c r="G547" s="409" t="s">
        <v>4822</v>
      </c>
      <c r="H547" s="465" t="e">
        <v>#N/A</v>
      </c>
      <c r="I547" s="465" t="e">
        <v>#N/A</v>
      </c>
      <c r="J547" s="465" t="e">
        <v>#N/A</v>
      </c>
      <c r="K547" s="465" t="e">
        <v>#N/A</v>
      </c>
      <c r="L547" s="464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Future II úch.lišta 2,7m strieborná</v>
      </c>
      <c r="C548" s="185">
        <f t="shared" si="17"/>
        <v>32.476199999999999</v>
      </c>
      <c r="D548" s="409" t="s">
        <v>2907</v>
      </c>
      <c r="E548" s="409" t="s">
        <v>4823</v>
      </c>
      <c r="F548" s="409" t="s">
        <v>1251</v>
      </c>
      <c r="G548" s="409" t="s">
        <v>4824</v>
      </c>
      <c r="H548" s="465">
        <v>903.23748000000001</v>
      </c>
      <c r="I548" s="465">
        <v>32.476199999999999</v>
      </c>
      <c r="J548" s="465">
        <v>119.34</v>
      </c>
      <c r="K548" s="465">
        <v>12943.81868</v>
      </c>
      <c r="L548" s="464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spodné vedenie 6m zlatá</v>
      </c>
      <c r="C549" s="185">
        <f t="shared" si="17"/>
        <v>36.691870000000002</v>
      </c>
      <c r="D549" s="409" t="s">
        <v>3342</v>
      </c>
      <c r="E549" s="409" t="s">
        <v>4825</v>
      </c>
      <c r="F549" s="409" t="s">
        <v>4826</v>
      </c>
      <c r="G549" s="409" t="s">
        <v>4827</v>
      </c>
      <c r="H549" s="465">
        <v>1020.48465</v>
      </c>
      <c r="I549" s="465">
        <v>36.691870000000002</v>
      </c>
      <c r="J549" s="465">
        <v>137.86320000000001</v>
      </c>
      <c r="K549" s="465">
        <v>14624.02583</v>
      </c>
      <c r="L549" s="464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úchytová lišta 3m biela lesk</v>
      </c>
      <c r="C550" s="185">
        <f t="shared" si="17"/>
        <v>29.89997</v>
      </c>
      <c r="D550" s="409" t="s">
        <v>3248</v>
      </c>
      <c r="E550" s="409" t="s">
        <v>4828</v>
      </c>
      <c r="F550" s="409" t="s">
        <v>4829</v>
      </c>
      <c r="G550" s="409" t="s">
        <v>4830</v>
      </c>
      <c r="H550" s="465">
        <v>831.58642999999995</v>
      </c>
      <c r="I550" s="465">
        <v>29.89997</v>
      </c>
      <c r="J550" s="465">
        <v>114.07680000000001</v>
      </c>
      <c r="K550" s="465">
        <v>11917.02533</v>
      </c>
      <c r="L550" s="464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Comfort spodné vedenie 4,05m striebo</v>
      </c>
      <c r="C551" s="185">
        <f t="shared" si="17"/>
        <v>36.37959</v>
      </c>
      <c r="D551" s="409" t="s">
        <v>1421</v>
      </c>
      <c r="E551" s="409" t="s">
        <v>4831</v>
      </c>
      <c r="F551" s="409" t="s">
        <v>1181</v>
      </c>
      <c r="G551" s="409" t="s">
        <v>4832</v>
      </c>
      <c r="H551" s="465">
        <v>1011.79968</v>
      </c>
      <c r="I551" s="465">
        <v>36.37959</v>
      </c>
      <c r="J551" s="465">
        <v>136.2414</v>
      </c>
      <c r="K551" s="465">
        <v>14499.56611</v>
      </c>
      <c r="L551" s="464" t="s">
        <v>539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úchytová lišta 3m oliva</v>
      </c>
      <c r="C552" s="185">
        <f t="shared" si="17"/>
        <v>35.026420000000002</v>
      </c>
      <c r="D552" s="409" t="s">
        <v>2798</v>
      </c>
      <c r="E552" s="409" t="s">
        <v>4833</v>
      </c>
      <c r="F552" s="409" t="s">
        <v>2798</v>
      </c>
      <c r="G552" s="409" t="s">
        <v>4834</v>
      </c>
      <c r="H552" s="465">
        <v>974.16479000000004</v>
      </c>
      <c r="I552" s="465">
        <v>35.026420000000002</v>
      </c>
      <c r="J552" s="465">
        <v>120.44696999999999</v>
      </c>
      <c r="K552" s="465">
        <v>13960.240400000001</v>
      </c>
      <c r="L552" s="464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str">
        <f t="shared" si="16"/>
        <v>SEVROLL Herkules sada kovania 120kg</v>
      </c>
      <c r="C553" s="185" t="e">
        <f t="shared" si="17"/>
        <v>#N/A</v>
      </c>
      <c r="D553" s="409" t="s">
        <v>3068</v>
      </c>
      <c r="E553" s="409" t="s">
        <v>4835</v>
      </c>
      <c r="F553" s="409" t="s">
        <v>1160</v>
      </c>
      <c r="G553" s="409" t="s">
        <v>4836</v>
      </c>
      <c r="H553" s="465" t="e">
        <v>#N/A</v>
      </c>
      <c r="I553" s="465" t="e">
        <v>#N/A</v>
      </c>
      <c r="J553" s="465" t="e">
        <v>#N/A</v>
      </c>
      <c r="K553" s="465" t="e">
        <v>#N/A</v>
      </c>
      <c r="L553" s="464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Doubler ll spodné vedenie 4,05m strieborná</v>
      </c>
      <c r="C554" s="185">
        <f t="shared" si="17"/>
        <v>34.505969999999998</v>
      </c>
      <c r="D554" s="409" t="s">
        <v>2788</v>
      </c>
      <c r="E554" s="409" t="s">
        <v>4837</v>
      </c>
      <c r="F554" s="409" t="s">
        <v>4838</v>
      </c>
      <c r="G554" s="409" t="s">
        <v>4839</v>
      </c>
      <c r="H554" s="465">
        <v>959.68983000000003</v>
      </c>
      <c r="I554" s="465">
        <v>34.505969999999998</v>
      </c>
      <c r="J554" s="465">
        <v>127.0206</v>
      </c>
      <c r="K554" s="465">
        <v>13752.807430000001</v>
      </c>
      <c r="L554" s="464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str">
        <f t="shared" si="16"/>
        <v>SEVROLL Maxim horné vedenie 2,5m oliva</v>
      </c>
      <c r="C555" s="185" t="e">
        <f t="shared" si="17"/>
        <v>#N/A</v>
      </c>
      <c r="D555" s="409" t="s">
        <v>3266</v>
      </c>
      <c r="E555" s="409" t="s">
        <v>4840</v>
      </c>
      <c r="F555" s="409" t="s">
        <v>1133</v>
      </c>
      <c r="G555" s="409" t="s">
        <v>4841</v>
      </c>
      <c r="H555" s="465" t="e">
        <v>#N/A</v>
      </c>
      <c r="I555" s="465" t="e">
        <v>#N/A</v>
      </c>
      <c r="J555" s="465" t="e">
        <v>#N/A</v>
      </c>
      <c r="K555" s="465" t="e">
        <v>#N/A</v>
      </c>
      <c r="L555" s="464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Maxim sada kovania pre 2 dvere 1,8m strieborná</v>
      </c>
      <c r="C556" s="185">
        <f t="shared" si="17"/>
        <v>27.470300000000002</v>
      </c>
      <c r="D556" s="409" t="s">
        <v>2764</v>
      </c>
      <c r="E556" s="409" t="s">
        <v>4842</v>
      </c>
      <c r="F556" s="409" t="s">
        <v>4843</v>
      </c>
      <c r="G556" s="409" t="s">
        <v>4844</v>
      </c>
      <c r="H556" s="465">
        <v>0</v>
      </c>
      <c r="I556" s="465">
        <v>27.470300000000002</v>
      </c>
      <c r="J556" s="465">
        <v>107.06509</v>
      </c>
      <c r="K556" s="465">
        <v>0</v>
      </c>
      <c r="L556" s="464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str">
        <f t="shared" si="16"/>
        <v>SEVROLL krycia lišta Herkules Glass 2m strie</v>
      </c>
      <c r="C557" s="185" t="e">
        <f t="shared" si="17"/>
        <v>#N/A</v>
      </c>
      <c r="D557" s="409" t="s">
        <v>3162</v>
      </c>
      <c r="E557" s="409" t="s">
        <v>4845</v>
      </c>
      <c r="F557" s="409" t="s">
        <v>1143</v>
      </c>
      <c r="G557" s="409" t="s">
        <v>4846</v>
      </c>
      <c r="H557" s="465" t="e">
        <v>#N/A</v>
      </c>
      <c r="I557" s="465" t="e">
        <v>#N/A</v>
      </c>
      <c r="J557" s="465" t="e">
        <v>#N/A</v>
      </c>
      <c r="K557" s="465" t="e">
        <v>#N/A</v>
      </c>
      <c r="L557" s="464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horné vedenie  4m oliva</v>
      </c>
      <c r="C558" s="185">
        <f t="shared" si="17"/>
        <v>37.732770000000002</v>
      </c>
      <c r="D558" s="409" t="s">
        <v>3398</v>
      </c>
      <c r="E558" s="409" t="s">
        <v>4847</v>
      </c>
      <c r="F558" s="409" t="s">
        <v>4848</v>
      </c>
      <c r="G558" s="409" t="s">
        <v>4849</v>
      </c>
      <c r="H558" s="465">
        <v>1038.1097400000001</v>
      </c>
      <c r="I558" s="465">
        <v>37.732770000000002</v>
      </c>
      <c r="J558" s="465">
        <v>126.57856</v>
      </c>
      <c r="K558" s="465">
        <v>15343.3228</v>
      </c>
      <c r="L558" s="464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spodné vedenie 6m oliva</v>
      </c>
      <c r="C559" s="185">
        <f t="shared" si="17"/>
        <v>36.691870000000002</v>
      </c>
      <c r="D559" s="409" t="s">
        <v>3428</v>
      </c>
      <c r="E559" s="409" t="s">
        <v>4850</v>
      </c>
      <c r="F559" s="409" t="s">
        <v>4851</v>
      </c>
      <c r="G559" s="409" t="s">
        <v>4852</v>
      </c>
      <c r="H559" s="465">
        <v>1020.48465</v>
      </c>
      <c r="I559" s="465">
        <v>36.691870000000002</v>
      </c>
      <c r="J559" s="465">
        <v>137.86320000000001</v>
      </c>
      <c r="K559" s="465">
        <v>14624.02583</v>
      </c>
      <c r="L559" s="464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horné vedenie 3m oliva</v>
      </c>
      <c r="C560" s="185">
        <f t="shared" si="17"/>
        <v>39.502310000000001</v>
      </c>
      <c r="D560" s="409" t="s">
        <v>2821</v>
      </c>
      <c r="E560" s="409" t="s">
        <v>4853</v>
      </c>
      <c r="F560" s="409" t="s">
        <v>4854</v>
      </c>
      <c r="G560" s="409" t="s">
        <v>4855</v>
      </c>
      <c r="H560" s="465">
        <v>1047.2737500000001</v>
      </c>
      <c r="I560" s="465">
        <v>39.502310000000001</v>
      </c>
      <c r="J560" s="465">
        <v>134.77080000000001</v>
      </c>
      <c r="K560" s="465">
        <v>15297.97315</v>
      </c>
      <c r="L560" s="464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horné vedenie jednoduché 3m strieborná</v>
      </c>
      <c r="C561" s="185">
        <f t="shared" si="17"/>
        <v>33.387</v>
      </c>
      <c r="D561" s="409" t="s">
        <v>2932</v>
      </c>
      <c r="E561" s="409" t="s">
        <v>4856</v>
      </c>
      <c r="F561" s="409" t="s">
        <v>4857</v>
      </c>
      <c r="G561" s="409" t="s">
        <v>4858</v>
      </c>
      <c r="H561" s="465">
        <v>928.56865000000005</v>
      </c>
      <c r="I561" s="465">
        <v>33.387</v>
      </c>
      <c r="J561" s="465">
        <v>116.4534</v>
      </c>
      <c r="K561" s="465">
        <v>13306.8262</v>
      </c>
      <c r="L561" s="464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9" t="e">
        <v>#N/A</v>
      </c>
      <c r="E562" s="409" t="e">
        <v>#N/A</v>
      </c>
      <c r="F562" s="409" t="e">
        <v>#N/A</v>
      </c>
      <c r="G562" s="409" t="e">
        <v>#N/A</v>
      </c>
      <c r="H562" s="465" t="e">
        <v>#N/A</v>
      </c>
      <c r="I562" s="465" t="e">
        <v>#N/A</v>
      </c>
      <c r="J562" s="465" t="e">
        <v>#N/A</v>
      </c>
      <c r="K562" s="465" t="e">
        <v>#N/A</v>
      </c>
      <c r="L562" s="464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str">
        <f t="shared" si="16"/>
        <v>SEVROLL Maxim spodná krycí lišta 2,5m 18mm oliva</v>
      </c>
      <c r="C563" s="185" t="e">
        <f t="shared" si="17"/>
        <v>#N/A</v>
      </c>
      <c r="D563" s="409" t="s">
        <v>3263</v>
      </c>
      <c r="E563" s="409" t="s">
        <v>4859</v>
      </c>
      <c r="F563" s="409" t="s">
        <v>4860</v>
      </c>
      <c r="G563" s="409" t="s">
        <v>4861</v>
      </c>
      <c r="H563" s="465" t="e">
        <v>#N/A</v>
      </c>
      <c r="I563" s="465" t="e">
        <v>#N/A</v>
      </c>
      <c r="J563" s="465" t="e">
        <v>#N/A</v>
      </c>
      <c r="K563" s="465" t="e">
        <v>#N/A</v>
      </c>
      <c r="L563" s="464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9" t="e">
        <v>#N/A</v>
      </c>
      <c r="E564" s="409" t="e">
        <v>#N/A</v>
      </c>
      <c r="F564" s="409" t="e">
        <v>#N/A</v>
      </c>
      <c r="G564" s="409" t="e">
        <v>#N/A</v>
      </c>
      <c r="H564" s="465" t="e">
        <v>#N/A</v>
      </c>
      <c r="I564" s="465" t="e">
        <v>#N/A</v>
      </c>
      <c r="J564" s="465" t="e">
        <v>#N/A</v>
      </c>
      <c r="K564" s="465" t="e">
        <v>#N/A</v>
      </c>
      <c r="L564" s="464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str">
        <f t="shared" si="16"/>
        <v>SEVROLL Maxim vodiaca lišta 3,5m oliva</v>
      </c>
      <c r="C565" s="185" t="e">
        <f t="shared" si="17"/>
        <v>#N/A</v>
      </c>
      <c r="D565" s="409" t="s">
        <v>3264</v>
      </c>
      <c r="E565" s="409" t="s">
        <v>4862</v>
      </c>
      <c r="F565" s="409" t="s">
        <v>4863</v>
      </c>
      <c r="G565" s="409" t="s">
        <v>4864</v>
      </c>
      <c r="H565" s="465" t="e">
        <v>#N/A</v>
      </c>
      <c r="I565" s="465" t="e">
        <v>#N/A</v>
      </c>
      <c r="J565" s="465" t="e">
        <v>#N/A</v>
      </c>
      <c r="K565" s="465" t="e">
        <v>#N/A</v>
      </c>
      <c r="L565" s="464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spodné vedenie  6m oliva</v>
      </c>
      <c r="C566" s="185">
        <f t="shared" si="17"/>
        <v>37.784820000000003</v>
      </c>
      <c r="D566" s="409" t="s">
        <v>3311</v>
      </c>
      <c r="E566" s="409" t="s">
        <v>4865</v>
      </c>
      <c r="F566" s="409" t="s">
        <v>4866</v>
      </c>
      <c r="G566" s="409" t="s">
        <v>4867</v>
      </c>
      <c r="H566" s="465">
        <v>1050.8820599999999</v>
      </c>
      <c r="I566" s="465">
        <v>37.784820000000003</v>
      </c>
      <c r="J566" s="465">
        <v>129.93239</v>
      </c>
      <c r="K566" s="465">
        <v>15059.635029999999</v>
      </c>
      <c r="L566" s="464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spodná krycia lišta 3m 10mm oliva tmavá kartáčovaná</v>
      </c>
      <c r="C567" s="185">
        <f t="shared" si="17"/>
        <v>39.398220000000002</v>
      </c>
      <c r="D567" s="409" t="s">
        <v>2982</v>
      </c>
      <c r="E567" s="409" t="s">
        <v>4868</v>
      </c>
      <c r="F567" s="409" t="s">
        <v>4869</v>
      </c>
      <c r="G567" s="409" t="s">
        <v>4870</v>
      </c>
      <c r="H567" s="465">
        <v>1095.75443</v>
      </c>
      <c r="I567" s="465">
        <v>39.398220000000002</v>
      </c>
      <c r="J567" s="465">
        <v>135.48047</v>
      </c>
      <c r="K567" s="465">
        <v>15702.6772</v>
      </c>
      <c r="L567" s="464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str">
        <f t="shared" si="16"/>
        <v>SEVROLL 214-378 Herkules plus horné vedenie 4m alu</v>
      </c>
      <c r="C568" s="185" t="e">
        <f t="shared" si="17"/>
        <v>#N/A</v>
      </c>
      <c r="D568" s="409" t="s">
        <v>3377</v>
      </c>
      <c r="E568" s="409" t="s">
        <v>4871</v>
      </c>
      <c r="F568" s="409" t="s">
        <v>4872</v>
      </c>
      <c r="G568" s="409" t="s">
        <v>4873</v>
      </c>
      <c r="H568" s="465" t="e">
        <v>#N/A</v>
      </c>
      <c r="I568" s="465" t="e">
        <v>#N/A</v>
      </c>
      <c r="J568" s="465" t="e">
        <v>#N/A</v>
      </c>
      <c r="K568" s="465" t="e">
        <v>#N/A</v>
      </c>
      <c r="L568" s="464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spodné vedenie 4,05m oliva</v>
      </c>
      <c r="C569" s="185">
        <f t="shared" si="17"/>
        <v>43.145470000000003</v>
      </c>
      <c r="D569" s="409" t="s">
        <v>2890</v>
      </c>
      <c r="E569" s="409" t="s">
        <v>4874</v>
      </c>
      <c r="F569" s="409" t="s">
        <v>4875</v>
      </c>
      <c r="G569" s="409" t="s">
        <v>4876</v>
      </c>
      <c r="H569" s="465">
        <v>1199.97416</v>
      </c>
      <c r="I569" s="465">
        <v>43.145470000000003</v>
      </c>
      <c r="J569" s="465">
        <v>148.36633</v>
      </c>
      <c r="K569" s="465">
        <v>17196.19498</v>
      </c>
      <c r="L569" s="464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str">
        <f t="shared" si="16"/>
        <v>SEVROLL Doubler II spodné vedenie 4,05m zlat</v>
      </c>
      <c r="C570" s="185" t="e">
        <f t="shared" si="17"/>
        <v>#N/A</v>
      </c>
      <c r="D570" s="409" t="s">
        <v>2892</v>
      </c>
      <c r="E570" s="409" t="s">
        <v>4877</v>
      </c>
      <c r="F570" s="409" t="s">
        <v>1179</v>
      </c>
      <c r="G570" s="409" t="s">
        <v>4878</v>
      </c>
      <c r="H570" s="465" t="e">
        <v>#N/A</v>
      </c>
      <c r="I570" s="465" t="e">
        <v>#N/A</v>
      </c>
      <c r="J570" s="465" t="e">
        <v>#N/A</v>
      </c>
      <c r="K570" s="465" t="e">
        <v>#N/A</v>
      </c>
      <c r="L570" s="464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horné vedenie 3,6m surová</v>
      </c>
      <c r="C571" s="185">
        <f t="shared" si="17"/>
        <v>46.47636</v>
      </c>
      <c r="D571" s="409" t="s">
        <v>3436</v>
      </c>
      <c r="E571" s="409" t="s">
        <v>4879</v>
      </c>
      <c r="F571" s="409" t="s">
        <v>4880</v>
      </c>
      <c r="G571" s="409" t="s">
        <v>4881</v>
      </c>
      <c r="H571" s="465">
        <v>1232.1679300000001</v>
      </c>
      <c r="I571" s="465">
        <v>46.47636</v>
      </c>
      <c r="J571" s="465">
        <v>158.56433000000001</v>
      </c>
      <c r="K571" s="465">
        <v>17998.801149999999</v>
      </c>
      <c r="L571" s="464" t="s">
        <v>539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04099Gemini 4 Pax spodná krycia lišta 3m 4mm biela lesk</v>
      </c>
      <c r="C572" s="185">
        <f t="shared" si="17"/>
        <v>33.82938</v>
      </c>
      <c r="D572" s="409" t="s">
        <v>3250</v>
      </c>
      <c r="E572" s="409" t="s">
        <v>4882</v>
      </c>
      <c r="F572" s="409" t="s">
        <v>4883</v>
      </c>
      <c r="G572" s="409" t="s">
        <v>4884</v>
      </c>
      <c r="H572" s="465">
        <v>940.87237000000005</v>
      </c>
      <c r="I572" s="465">
        <v>33.82938</v>
      </c>
      <c r="J572" s="465">
        <v>129.11160000000001</v>
      </c>
      <c r="K572" s="465">
        <v>13483.14436</v>
      </c>
      <c r="L572" s="464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Exclusive horné vedenie 3,6m strieborná</v>
      </c>
      <c r="C573" s="185">
        <f t="shared" si="17"/>
        <v>39.06514</v>
      </c>
      <c r="D573" s="409" t="s">
        <v>3166</v>
      </c>
      <c r="E573" s="409" t="s">
        <v>4885</v>
      </c>
      <c r="F573" s="409" t="s">
        <v>1172</v>
      </c>
      <c r="G573" s="409" t="s">
        <v>4886</v>
      </c>
      <c r="H573" s="465">
        <v>1035.54538</v>
      </c>
      <c r="I573" s="465">
        <v>39.06514</v>
      </c>
      <c r="J573" s="465">
        <v>133.27927</v>
      </c>
      <c r="K573" s="465">
        <v>15126.65186</v>
      </c>
      <c r="L573" s="464" t="s">
        <v>539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horné vedenie 4,05m oliva</v>
      </c>
      <c r="C574" s="185">
        <f t="shared" si="17"/>
        <v>42.156610000000001</v>
      </c>
      <c r="D574" s="409" t="s">
        <v>2639</v>
      </c>
      <c r="E574" s="409" t="s">
        <v>4887</v>
      </c>
      <c r="F574" s="409" t="s">
        <v>4888</v>
      </c>
      <c r="G574" s="409" t="s">
        <v>2639</v>
      </c>
      <c r="H574" s="465">
        <v>1172.47173</v>
      </c>
      <c r="I574" s="465">
        <v>42.156610000000001</v>
      </c>
      <c r="J574" s="465">
        <v>144.9659</v>
      </c>
      <c r="K574" s="465">
        <v>16802.072219999998</v>
      </c>
      <c r="L574" s="464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 Gemini horné vedenie 4,05m zlatá</v>
      </c>
      <c r="C575" s="185">
        <f t="shared" si="17"/>
        <v>42.156610000000001</v>
      </c>
      <c r="D575" s="409" t="s">
        <v>2638</v>
      </c>
      <c r="E575" s="409" t="s">
        <v>4889</v>
      </c>
      <c r="F575" s="409" t="s">
        <v>4890</v>
      </c>
      <c r="G575" s="409" t="s">
        <v>2638</v>
      </c>
      <c r="H575" s="465">
        <v>1172.47173</v>
      </c>
      <c r="I575" s="465">
        <v>42.156610000000001</v>
      </c>
      <c r="J575" s="465">
        <v>144.9659</v>
      </c>
      <c r="K575" s="465">
        <v>16802.072219999998</v>
      </c>
      <c r="L575" s="464" t="s">
        <v>538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str">
        <f t="shared" si="16"/>
        <v>SEVROLL Herkules 2 horné vedenie 3m alu</v>
      </c>
      <c r="C576" s="185" t="e">
        <f t="shared" si="17"/>
        <v>#N/A</v>
      </c>
      <c r="D576" s="409" t="s">
        <v>2723</v>
      </c>
      <c r="E576" s="409" t="s">
        <v>4891</v>
      </c>
      <c r="F576" s="409" t="s">
        <v>4892</v>
      </c>
      <c r="G576" s="409" t="s">
        <v>4893</v>
      </c>
      <c r="H576" s="465" t="e">
        <v>#N/A</v>
      </c>
      <c r="I576" s="465" t="e">
        <v>#N/A</v>
      </c>
      <c r="J576" s="465" t="e">
        <v>#N/A</v>
      </c>
      <c r="K576" s="465" t="e">
        <v>#N/A</v>
      </c>
      <c r="L576" s="464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str">
        <f t="shared" si="16"/>
        <v>SEVROLL 214-427 Herkules 2 horné vedenie 3m alu</v>
      </c>
      <c r="C577" s="185" t="e">
        <f t="shared" si="17"/>
        <v>#N/A</v>
      </c>
      <c r="D577" s="409" t="s">
        <v>2723</v>
      </c>
      <c r="E577" s="409" t="s">
        <v>4891</v>
      </c>
      <c r="F577" s="409" t="s">
        <v>4894</v>
      </c>
      <c r="G577" s="409" t="s">
        <v>4895</v>
      </c>
      <c r="H577" s="465" t="e">
        <v>#N/A</v>
      </c>
      <c r="I577" s="465" t="e">
        <v>#N/A</v>
      </c>
      <c r="J577" s="465" t="e">
        <v>#N/A</v>
      </c>
      <c r="K577" s="465" t="e">
        <v>#N/A</v>
      </c>
      <c r="L577" s="464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spodné vedenie 6m biela lesk</v>
      </c>
      <c r="C578" s="185">
        <f t="shared" si="17"/>
        <v>37.914929999999998</v>
      </c>
      <c r="D578" s="409" t="s">
        <v>3306</v>
      </c>
      <c r="E578" s="409" t="s">
        <v>4896</v>
      </c>
      <c r="F578" s="409" t="s">
        <v>4897</v>
      </c>
      <c r="G578" s="409" t="s">
        <v>4898</v>
      </c>
      <c r="H578" s="465">
        <v>1054.50082</v>
      </c>
      <c r="I578" s="465">
        <v>37.914929999999998</v>
      </c>
      <c r="J578" s="465">
        <v>143.60579999999999</v>
      </c>
      <c r="K578" s="465">
        <v>15111.493469999999</v>
      </c>
      <c r="L578" s="464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horné vedenie jednoduché 3m oliva</v>
      </c>
      <c r="C579" s="185">
        <f t="shared" si="17"/>
        <v>40.595260000000003</v>
      </c>
      <c r="D579" s="409" t="s">
        <v>2933</v>
      </c>
      <c r="E579" s="409" t="s">
        <v>4899</v>
      </c>
      <c r="F579" s="409" t="s">
        <v>4900</v>
      </c>
      <c r="G579" s="409" t="s">
        <v>4901</v>
      </c>
      <c r="H579" s="465">
        <v>1129.0468499999999</v>
      </c>
      <c r="I579" s="465">
        <v>40.595260000000003</v>
      </c>
      <c r="J579" s="465">
        <v>139.59678</v>
      </c>
      <c r="K579" s="465">
        <v>16179.77324</v>
      </c>
      <c r="L579" s="464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9" t="e">
        <v>#N/A</v>
      </c>
      <c r="E580" s="409" t="e">
        <v>#N/A</v>
      </c>
      <c r="F580" s="409" t="e">
        <v>#N/A</v>
      </c>
      <c r="G580" s="409" t="e">
        <v>#N/A</v>
      </c>
      <c r="H580" s="465" t="e">
        <v>#N/A</v>
      </c>
      <c r="I580" s="465" t="e">
        <v>#N/A</v>
      </c>
      <c r="J580" s="465" t="e">
        <v>#N/A</v>
      </c>
      <c r="K580" s="465" t="e">
        <v>#N/A</v>
      </c>
      <c r="L580" s="464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str">
        <f t="shared" si="18"/>
        <v>SEVROLL MAXIM VOD.LIŠTA 4,3 M STRIEBORNA</v>
      </c>
      <c r="C581" s="185" t="e">
        <f t="shared" si="19"/>
        <v>#N/A</v>
      </c>
      <c r="D581" s="409" t="s">
        <v>2802</v>
      </c>
      <c r="E581" s="409" t="s">
        <v>4902</v>
      </c>
      <c r="F581" s="409" t="s">
        <v>4903</v>
      </c>
      <c r="G581" s="409" t="s">
        <v>4904</v>
      </c>
      <c r="H581" s="465" t="e">
        <v>#N/A</v>
      </c>
      <c r="I581" s="465" t="e">
        <v>#N/A</v>
      </c>
      <c r="J581" s="465" t="e">
        <v>#N/A</v>
      </c>
      <c r="K581" s="465" t="e">
        <v>#N/A</v>
      </c>
      <c r="L581" s="464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sada kovania ZPE-10 II</v>
      </c>
      <c r="C582" s="185">
        <f t="shared" si="19"/>
        <v>39.736510000000003</v>
      </c>
      <c r="D582" s="409" t="s">
        <v>2758</v>
      </c>
      <c r="E582" s="409" t="s">
        <v>4905</v>
      </c>
      <c r="F582" s="409" t="s">
        <v>4906</v>
      </c>
      <c r="G582" s="409" t="s">
        <v>4907</v>
      </c>
      <c r="H582" s="465">
        <v>1053.48288</v>
      </c>
      <c r="I582" s="465">
        <v>39.736510000000003</v>
      </c>
      <c r="J582" s="465">
        <v>135.56983</v>
      </c>
      <c r="K582" s="465">
        <v>15388.67266</v>
      </c>
      <c r="L582" s="464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9" t="e">
        <v>#N/A</v>
      </c>
      <c r="E583" s="409" t="e">
        <v>#N/A</v>
      </c>
      <c r="F583" s="409" t="e">
        <v>#N/A</v>
      </c>
      <c r="G583" s="409" t="e">
        <v>#N/A</v>
      </c>
      <c r="H583" s="465" t="e">
        <v>#N/A</v>
      </c>
      <c r="I583" s="465" t="e">
        <v>#N/A</v>
      </c>
      <c r="J583" s="465" t="e">
        <v>#N/A</v>
      </c>
      <c r="K583" s="465" t="e">
        <v>#N/A</v>
      </c>
      <c r="L583" s="464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str">
        <f t="shared" si="18"/>
        <v>SEVROLL 02890 Maxim II spodné vedenie 6m strieborná</v>
      </c>
      <c r="C584" s="185" t="e">
        <f t="shared" si="19"/>
        <v>#N/A</v>
      </c>
      <c r="D584" s="409" t="s">
        <v>2916</v>
      </c>
      <c r="E584" s="409" t="s">
        <v>4908</v>
      </c>
      <c r="F584" s="409" t="s">
        <v>4909</v>
      </c>
      <c r="G584" s="409" t="s">
        <v>4910</v>
      </c>
      <c r="H584" s="465" t="e">
        <v>#N/A</v>
      </c>
      <c r="I584" s="465" t="e">
        <v>#N/A</v>
      </c>
      <c r="J584" s="465" t="e">
        <v>#N/A</v>
      </c>
      <c r="K584" s="465" t="e">
        <v>#N/A</v>
      </c>
      <c r="L584" s="464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úchytová lišta 3,5m oliva</v>
      </c>
      <c r="C585" s="185">
        <f t="shared" si="19"/>
        <v>49.00056</v>
      </c>
      <c r="D585" s="409" t="s">
        <v>2906</v>
      </c>
      <c r="E585" s="409" t="s">
        <v>4911</v>
      </c>
      <c r="F585" s="409" t="s">
        <v>2906</v>
      </c>
      <c r="G585" s="409" t="s">
        <v>4912</v>
      </c>
      <c r="H585" s="465">
        <v>1362.81744</v>
      </c>
      <c r="I585" s="465">
        <v>49.00056</v>
      </c>
      <c r="J585" s="465">
        <v>170.136</v>
      </c>
      <c r="K585" s="465">
        <v>19529.815930000001</v>
      </c>
      <c r="L585" s="464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Simple horné vedenie 6m strieborná</v>
      </c>
      <c r="C586" s="185">
        <f t="shared" si="19"/>
        <v>42.937289999999997</v>
      </c>
      <c r="D586" s="409" t="s">
        <v>3010</v>
      </c>
      <c r="E586" s="409" t="s">
        <v>4913</v>
      </c>
      <c r="F586" s="409" t="s">
        <v>1048</v>
      </c>
      <c r="G586" s="409" t="s">
        <v>4914</v>
      </c>
      <c r="H586" s="465">
        <v>1181.29729</v>
      </c>
      <c r="I586" s="465">
        <v>42.937289999999997</v>
      </c>
      <c r="J586" s="465">
        <v>157.76137</v>
      </c>
      <c r="K586" s="465">
        <v>17459.643199999999</v>
      </c>
      <c r="L586" s="464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str">
        <f t="shared" si="18"/>
        <v>SEVROLL 10022-SV Ursus sada kovania ZP-18 pro 1 krídlo</v>
      </c>
      <c r="C587" s="185" t="e">
        <f t="shared" si="19"/>
        <v>#N/A</v>
      </c>
      <c r="D587" s="409" t="s">
        <v>2842</v>
      </c>
      <c r="E587" s="409" t="s">
        <v>4915</v>
      </c>
      <c r="F587" s="409" t="s">
        <v>4916</v>
      </c>
      <c r="G587" s="409" t="s">
        <v>4917</v>
      </c>
      <c r="H587" s="465" t="e">
        <v>#N/A</v>
      </c>
      <c r="I587" s="465" t="e">
        <v>#N/A</v>
      </c>
      <c r="J587" s="465" t="e">
        <v>#N/A</v>
      </c>
      <c r="K587" s="465" t="e">
        <v>#N/A</v>
      </c>
      <c r="L587" s="464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Exclusive sada kovania ZPE18</v>
      </c>
      <c r="C588" s="185">
        <f t="shared" si="19"/>
        <v>39.320149999999998</v>
      </c>
      <c r="D588" s="409" t="s">
        <v>3006</v>
      </c>
      <c r="E588" s="409" t="s">
        <v>4918</v>
      </c>
      <c r="F588" s="409" t="s">
        <v>1170</v>
      </c>
      <c r="G588" s="409" t="s">
        <v>4919</v>
      </c>
      <c r="H588" s="465">
        <v>1042.4444100000001</v>
      </c>
      <c r="I588" s="465">
        <v>39.320149999999998</v>
      </c>
      <c r="J588" s="465">
        <v>134.14932999999999</v>
      </c>
      <c r="K588" s="465">
        <v>15227.429040000001</v>
      </c>
      <c r="L588" s="464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Comfort horné vedenie 2,35m strieborná</v>
      </c>
      <c r="C589" s="185">
        <f t="shared" si="19"/>
        <v>41.55809</v>
      </c>
      <c r="D589" s="409" t="s">
        <v>3143</v>
      </c>
      <c r="E589" s="409" t="s">
        <v>4920</v>
      </c>
      <c r="F589" s="409" t="s">
        <v>1260</v>
      </c>
      <c r="G589" s="409" t="s">
        <v>4921</v>
      </c>
      <c r="H589" s="465">
        <v>1155.8255300000001</v>
      </c>
      <c r="I589" s="465">
        <v>41.55809</v>
      </c>
      <c r="J589" s="465">
        <v>149.685</v>
      </c>
      <c r="K589" s="465">
        <v>16563.524389999999</v>
      </c>
      <c r="L589" s="464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9" t="e">
        <v>#N/A</v>
      </c>
      <c r="E590" s="409" t="e">
        <v>#N/A</v>
      </c>
      <c r="F590" s="409" t="e">
        <v>#N/A</v>
      </c>
      <c r="G590" s="409" t="e">
        <v>#N/A</v>
      </c>
      <c r="H590" s="465" t="e">
        <v>#N/A</v>
      </c>
      <c r="I590" s="465" t="e">
        <v>#N/A</v>
      </c>
      <c r="J590" s="465" t="e">
        <v>#N/A</v>
      </c>
      <c r="K590" s="465" t="e">
        <v>#N/A</v>
      </c>
      <c r="L590" s="464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spodné vedenie 6m biela lesk</v>
      </c>
      <c r="C591" s="185">
        <f t="shared" si="19"/>
        <v>37.186300000000003</v>
      </c>
      <c r="D591" s="409" t="s">
        <v>3434</v>
      </c>
      <c r="E591" s="409" t="s">
        <v>4922</v>
      </c>
      <c r="F591" s="409" t="s">
        <v>4923</v>
      </c>
      <c r="G591" s="409" t="s">
        <v>4924</v>
      </c>
      <c r="H591" s="465">
        <v>1034.23587</v>
      </c>
      <c r="I591" s="465">
        <v>37.186300000000003</v>
      </c>
      <c r="J591" s="465">
        <v>147.88980000000001</v>
      </c>
      <c r="K591" s="465">
        <v>14821.0872</v>
      </c>
      <c r="L591" s="464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spodné vedenie 6m biela lesk</v>
      </c>
      <c r="C592" s="185">
        <f t="shared" si="19"/>
        <v>37.186300000000003</v>
      </c>
      <c r="D592" s="409" t="s">
        <v>3434</v>
      </c>
      <c r="E592" s="409" t="s">
        <v>4922</v>
      </c>
      <c r="F592" s="409" t="s">
        <v>4923</v>
      </c>
      <c r="G592" s="409" t="s">
        <v>4924</v>
      </c>
      <c r="H592" s="465">
        <v>1034.23587</v>
      </c>
      <c r="I592" s="465">
        <v>37.186300000000003</v>
      </c>
      <c r="J592" s="465">
        <v>147.88980000000001</v>
      </c>
      <c r="K592" s="465">
        <v>14821.0872</v>
      </c>
      <c r="L592" s="464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9" t="e">
        <v>#N/A</v>
      </c>
      <c r="E593" s="409" t="e">
        <v>#N/A</v>
      </c>
      <c r="F593" s="409" t="e">
        <v>#N/A</v>
      </c>
      <c r="G593" s="409" t="e">
        <v>#N/A</v>
      </c>
      <c r="H593" s="465" t="e">
        <v>#N/A</v>
      </c>
      <c r="I593" s="465" t="e">
        <v>#N/A</v>
      </c>
      <c r="J593" s="465" t="e">
        <v>#N/A</v>
      </c>
      <c r="K593" s="465" t="e">
        <v>#N/A</v>
      </c>
      <c r="L593" s="464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str">
        <f t="shared" si="18"/>
        <v>SEVROLL Maxim vodiaca lišta 4,3m oliva</v>
      </c>
      <c r="C594" s="185" t="e">
        <f t="shared" si="19"/>
        <v>#N/A</v>
      </c>
      <c r="D594" s="409" t="s">
        <v>3175</v>
      </c>
      <c r="E594" s="409" t="s">
        <v>4925</v>
      </c>
      <c r="F594" s="409" t="s">
        <v>4926</v>
      </c>
      <c r="G594" s="409" t="s">
        <v>4927</v>
      </c>
      <c r="H594" s="465" t="e">
        <v>#N/A</v>
      </c>
      <c r="I594" s="465" t="e">
        <v>#N/A</v>
      </c>
      <c r="J594" s="465" t="e">
        <v>#N/A</v>
      </c>
      <c r="K594" s="465" t="e">
        <v>#N/A</v>
      </c>
      <c r="L594" s="464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FUTURE II ÚCH.LIŠTA 3,5 M str.</v>
      </c>
      <c r="C595" s="185">
        <f t="shared" si="19"/>
        <v>42.052520000000001</v>
      </c>
      <c r="D595" s="409" t="s">
        <v>2905</v>
      </c>
      <c r="E595" s="409" t="s">
        <v>4928</v>
      </c>
      <c r="F595" s="409" t="s">
        <v>4929</v>
      </c>
      <c r="G595" s="409" t="s">
        <v>4930</v>
      </c>
      <c r="H595" s="465">
        <v>1169.5767499999999</v>
      </c>
      <c r="I595" s="465">
        <v>42.052520000000001</v>
      </c>
      <c r="J595" s="465">
        <v>154.6728</v>
      </c>
      <c r="K595" s="465">
        <v>16760.585780000001</v>
      </c>
      <c r="L595" s="464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HORNÉ VEDENIE MAXIM 3,5M STR.</v>
      </c>
      <c r="C596" s="185">
        <f t="shared" si="19"/>
        <v>39.825560000000003</v>
      </c>
      <c r="D596" s="409" t="s">
        <v>2812</v>
      </c>
      <c r="E596" s="409" t="s">
        <v>4931</v>
      </c>
      <c r="F596" s="409" t="s">
        <v>4932</v>
      </c>
      <c r="G596" s="409" t="s">
        <v>4933</v>
      </c>
      <c r="H596" s="465">
        <v>1052.5355300000001</v>
      </c>
      <c r="I596" s="465">
        <v>39.825560000000003</v>
      </c>
      <c r="J596" s="465">
        <v>141.11804000000001</v>
      </c>
      <c r="K596" s="465">
        <v>15641.622359999999</v>
      </c>
      <c r="L596" s="464" t="s">
        <v>540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HOR.VEDENIE COMFORT 2,35 M OLIVA</v>
      </c>
      <c r="C597" s="185">
        <f t="shared" si="19"/>
        <v>51.915089999999999</v>
      </c>
      <c r="D597" s="409" t="s">
        <v>2791</v>
      </c>
      <c r="E597" s="409" t="s">
        <v>4934</v>
      </c>
      <c r="F597" s="409" t="s">
        <v>4935</v>
      </c>
      <c r="G597" s="409" t="s">
        <v>4936</v>
      </c>
      <c r="H597" s="465">
        <v>1443.8772300000001</v>
      </c>
      <c r="I597" s="465">
        <v>51.915089999999999</v>
      </c>
      <c r="J597" s="465">
        <v>178.52282</v>
      </c>
      <c r="K597" s="465">
        <v>20691.440979999999</v>
      </c>
      <c r="L597" s="464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Simple horné vedenie 6m oliva</v>
      </c>
      <c r="C598" s="185">
        <f t="shared" si="19"/>
        <v>53.684620000000002</v>
      </c>
      <c r="D598" s="409" t="s">
        <v>3072</v>
      </c>
      <c r="E598" s="409" t="s">
        <v>4937</v>
      </c>
      <c r="F598" s="409" t="s">
        <v>4938</v>
      </c>
      <c r="G598" s="409" t="s">
        <v>4939</v>
      </c>
      <c r="H598" s="465">
        <v>1476.97957</v>
      </c>
      <c r="I598" s="465">
        <v>53.684620000000002</v>
      </c>
      <c r="J598" s="465">
        <v>181.37522999999999</v>
      </c>
      <c r="K598" s="465">
        <v>21829.844659999999</v>
      </c>
      <c r="L598" s="464" t="s">
        <v>539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9" t="e">
        <v>#N/A</v>
      </c>
      <c r="E599" s="409" t="e">
        <v>#N/A</v>
      </c>
      <c r="F599" s="409" t="e">
        <v>#N/A</v>
      </c>
      <c r="G599" s="409" t="e">
        <v>#N/A</v>
      </c>
      <c r="H599" s="465" t="e">
        <v>#N/A</v>
      </c>
      <c r="I599" s="465" t="e">
        <v>#N/A</v>
      </c>
      <c r="J599" s="465" t="e">
        <v>#N/A</v>
      </c>
      <c r="K599" s="465" t="e">
        <v>#N/A</v>
      </c>
      <c r="L599" s="464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9" t="e">
        <v>#N/A</v>
      </c>
      <c r="E600" s="409" t="e">
        <v>#N/A</v>
      </c>
      <c r="F600" s="409" t="e">
        <v>#N/A</v>
      </c>
      <c r="G600" s="409" t="e">
        <v>#N/A</v>
      </c>
      <c r="H600" s="465" t="e">
        <v>#N/A</v>
      </c>
      <c r="I600" s="465" t="e">
        <v>#N/A</v>
      </c>
      <c r="J600" s="465" t="e">
        <v>#N/A</v>
      </c>
      <c r="K600" s="465" t="e">
        <v>#N/A</v>
      </c>
      <c r="L600" s="464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str">
        <f t="shared" si="18"/>
        <v>SEVROLL Maxim spod.krycia lišta 3,5m 18mm strieborná</v>
      </c>
      <c r="C601" s="185" t="e">
        <f t="shared" si="19"/>
        <v>#N/A</v>
      </c>
      <c r="D601" s="409" t="s">
        <v>2805</v>
      </c>
      <c r="E601" s="409" t="s">
        <v>4940</v>
      </c>
      <c r="F601" s="409" t="s">
        <v>4941</v>
      </c>
      <c r="G601" s="409" t="s">
        <v>4942</v>
      </c>
      <c r="H601" s="465" t="e">
        <v>#N/A</v>
      </c>
      <c r="I601" s="465" t="e">
        <v>#N/A</v>
      </c>
      <c r="J601" s="465" t="e">
        <v>#N/A</v>
      </c>
      <c r="K601" s="465" t="e">
        <v>#N/A</v>
      </c>
      <c r="L601" s="464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9" t="e">
        <v>#N/A</v>
      </c>
      <c r="E602" s="409" t="e">
        <v>#N/A</v>
      </c>
      <c r="F602" s="409" t="e">
        <v>#N/A</v>
      </c>
      <c r="G602" s="409" t="e">
        <v>#N/A</v>
      </c>
      <c r="H602" s="465" t="e">
        <v>#N/A</v>
      </c>
      <c r="I602" s="465" t="e">
        <v>#N/A</v>
      </c>
      <c r="J602" s="465" t="e">
        <v>#N/A</v>
      </c>
      <c r="K602" s="465" t="e">
        <v>#N/A</v>
      </c>
      <c r="L602" s="464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horné vedenie 6m strieborná</v>
      </c>
      <c r="C603" s="185">
        <f t="shared" si="19"/>
        <v>49.88532</v>
      </c>
      <c r="D603" s="409" t="s">
        <v>2843</v>
      </c>
      <c r="E603" s="409" t="s">
        <v>4943</v>
      </c>
      <c r="F603" s="409" t="s">
        <v>4944</v>
      </c>
      <c r="G603" s="409" t="s">
        <v>4945</v>
      </c>
      <c r="H603" s="465">
        <v>1387.42489</v>
      </c>
      <c r="I603" s="465">
        <v>49.88532</v>
      </c>
      <c r="J603" s="465">
        <v>184.17554999999999</v>
      </c>
      <c r="K603" s="465">
        <v>19882.452249999998</v>
      </c>
      <c r="L603" s="464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horné vedenie  6m strieborná</v>
      </c>
      <c r="C604" s="185">
        <f t="shared" si="19"/>
        <v>44.897219999999997</v>
      </c>
      <c r="D604" s="409" t="s">
        <v>3400</v>
      </c>
      <c r="E604" s="409" t="s">
        <v>4946</v>
      </c>
      <c r="F604" s="409" t="s">
        <v>4947</v>
      </c>
      <c r="G604" s="409" t="s">
        <v>4948</v>
      </c>
      <c r="H604" s="465">
        <v>1224.2893999999999</v>
      </c>
      <c r="I604" s="465">
        <v>44.897219999999997</v>
      </c>
      <c r="J604" s="465">
        <v>160.97072</v>
      </c>
      <c r="K604" s="465">
        <v>17440.02</v>
      </c>
      <c r="L604" s="464" t="s">
        <v>540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bezpečnostná fólia 300mm/50m transparentná</v>
      </c>
      <c r="C605" s="185">
        <f t="shared" si="19"/>
        <v>42.781149999999997</v>
      </c>
      <c r="D605" s="409" t="s">
        <v>3288</v>
      </c>
      <c r="E605" s="409" t="s">
        <v>4949</v>
      </c>
      <c r="F605" s="409" t="s">
        <v>4950</v>
      </c>
      <c r="G605" s="409" t="s">
        <v>4951</v>
      </c>
      <c r="H605" s="465">
        <v>1262.60177</v>
      </c>
      <c r="I605" s="465">
        <v>42.781149999999997</v>
      </c>
      <c r="J605" s="465">
        <v>143.16999999999999</v>
      </c>
      <c r="K605" s="465">
        <v>17534.218120000001</v>
      </c>
      <c r="L605" s="464" t="s">
        <v>539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Idea horné/spodné vedenie 6m strieborná</v>
      </c>
      <c r="C606" s="185">
        <f t="shared" si="19"/>
        <v>44.862960000000001</v>
      </c>
      <c r="D606" s="409" t="s">
        <v>3283</v>
      </c>
      <c r="E606" s="409" t="s">
        <v>4952</v>
      </c>
      <c r="F606" s="409" t="s">
        <v>4953</v>
      </c>
      <c r="G606" s="409" t="s">
        <v>4954</v>
      </c>
      <c r="H606" s="465">
        <v>1247.7415100000001</v>
      </c>
      <c r="I606" s="465">
        <v>44.862960000000001</v>
      </c>
      <c r="J606" s="465">
        <v>156.44759999999999</v>
      </c>
      <c r="K606" s="465">
        <v>17880.723620000001</v>
      </c>
      <c r="L606" s="464" t="s">
        <v>539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9" t="e">
        <v>#N/A</v>
      </c>
      <c r="E607" s="409" t="e">
        <v>#N/A</v>
      </c>
      <c r="F607" s="409" t="e">
        <v>#N/A</v>
      </c>
      <c r="G607" s="409" t="e">
        <v>#N/A</v>
      </c>
      <c r="H607" s="465" t="e">
        <v>#N/A</v>
      </c>
      <c r="I607" s="465" t="e">
        <v>#N/A</v>
      </c>
      <c r="J607" s="465" t="e">
        <v>#N/A</v>
      </c>
      <c r="K607" s="465" t="e">
        <v>#N/A</v>
      </c>
      <c r="L607" s="464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str">
        <f t="shared" si="18"/>
        <v>SEVROLL Maxim sada kovánia pre 3 dvere 2,5m strieborná</v>
      </c>
      <c r="C608" s="185" t="e">
        <f t="shared" si="19"/>
        <v>#N/A</v>
      </c>
      <c r="D608" s="409" t="s">
        <v>2794</v>
      </c>
      <c r="E608" s="409" t="s">
        <v>4955</v>
      </c>
      <c r="F608" s="409" t="s">
        <v>4956</v>
      </c>
      <c r="G608" s="409" t="s">
        <v>4957</v>
      </c>
      <c r="H608" s="465" t="e">
        <v>#N/A</v>
      </c>
      <c r="I608" s="465" t="e">
        <v>#N/A</v>
      </c>
      <c r="J608" s="465" t="e">
        <v>#N/A</v>
      </c>
      <c r="K608" s="465" t="e">
        <v>#N/A</v>
      </c>
      <c r="L608" s="464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str">
        <f t="shared" si="18"/>
        <v>SEVROLL Herkules sada kovania60kg, 1,2m</v>
      </c>
      <c r="C609" s="185" t="e">
        <f t="shared" si="19"/>
        <v>#N/A</v>
      </c>
      <c r="D609" s="409" t="s">
        <v>3055</v>
      </c>
      <c r="E609" s="409" t="s">
        <v>4958</v>
      </c>
      <c r="F609" s="409" t="s">
        <v>1152</v>
      </c>
      <c r="G609" s="409" t="s">
        <v>4959</v>
      </c>
      <c r="H609" s="465" t="e">
        <v>#N/A</v>
      </c>
      <c r="I609" s="465" t="e">
        <v>#N/A</v>
      </c>
      <c r="J609" s="465" t="e">
        <v>#N/A</v>
      </c>
      <c r="K609" s="465" t="e">
        <v>#N/A</v>
      </c>
      <c r="L609" s="464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horné vedenie  6m oliva</v>
      </c>
      <c r="C610" s="185">
        <f t="shared" si="19"/>
        <v>56.599159999999998</v>
      </c>
      <c r="D610" s="409" t="s">
        <v>3399</v>
      </c>
      <c r="E610" s="409" t="s">
        <v>4960</v>
      </c>
      <c r="F610" s="409" t="s">
        <v>4961</v>
      </c>
      <c r="G610" s="409" t="s">
        <v>4962</v>
      </c>
      <c r="H610" s="465">
        <v>1557.16462</v>
      </c>
      <c r="I610" s="465">
        <v>56.599159999999998</v>
      </c>
      <c r="J610" s="465">
        <v>189.86785</v>
      </c>
      <c r="K610" s="465">
        <v>23014.984410000001</v>
      </c>
      <c r="L610" s="464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tlmič Central 10/18mm obojstranný 25kg</v>
      </c>
      <c r="C611" s="185">
        <f t="shared" si="19"/>
        <v>49.156689999999998</v>
      </c>
      <c r="D611" s="409" t="s">
        <v>3338</v>
      </c>
      <c r="E611" s="409" t="s">
        <v>4963</v>
      </c>
      <c r="F611" s="409" t="s">
        <v>4964</v>
      </c>
      <c r="G611" s="409" t="s">
        <v>4965</v>
      </c>
      <c r="H611" s="465">
        <v>1450.76324</v>
      </c>
      <c r="I611" s="465">
        <v>49.156689999999998</v>
      </c>
      <c r="J611" s="465">
        <v>206.958</v>
      </c>
      <c r="K611" s="465">
        <v>20147.28615</v>
      </c>
      <c r="L611" s="464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tlmič Central 10/18mm obojstranný 25-40kg</v>
      </c>
      <c r="C612" s="185">
        <f t="shared" si="19"/>
        <v>49.156689999999998</v>
      </c>
      <c r="D612" s="409" t="s">
        <v>3246</v>
      </c>
      <c r="E612" s="409" t="s">
        <v>4966</v>
      </c>
      <c r="F612" s="409" t="s">
        <v>4967</v>
      </c>
      <c r="G612" s="409" t="s">
        <v>4968</v>
      </c>
      <c r="H612" s="465">
        <v>1450.76324</v>
      </c>
      <c r="I612" s="465">
        <v>49.156689999999998</v>
      </c>
      <c r="J612" s="465">
        <v>206.958</v>
      </c>
      <c r="K612" s="465">
        <v>20147.28615</v>
      </c>
      <c r="L612" s="464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str">
        <f t="shared" si="18"/>
        <v>SEVROLL Maxim horné vedenie 3,5m oliva</v>
      </c>
      <c r="C613" s="185" t="e">
        <f t="shared" si="19"/>
        <v>#N/A</v>
      </c>
      <c r="D613" s="409" t="s">
        <v>3267</v>
      </c>
      <c r="E613" s="409" t="s">
        <v>4969</v>
      </c>
      <c r="F613" s="409" t="s">
        <v>1132</v>
      </c>
      <c r="G613" s="409" t="s">
        <v>4970</v>
      </c>
      <c r="H613" s="465" t="e">
        <v>#N/A</v>
      </c>
      <c r="I613" s="465" t="e">
        <v>#N/A</v>
      </c>
      <c r="J613" s="465" t="e">
        <v>#N/A</v>
      </c>
      <c r="K613" s="465" t="e">
        <v>#N/A</v>
      </c>
      <c r="L613" s="464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spodné vedenie 6m strieborná</v>
      </c>
      <c r="C614" s="185">
        <f t="shared" si="19"/>
        <v>51.10839</v>
      </c>
      <c r="D614" s="409" t="s">
        <v>2886</v>
      </c>
      <c r="E614" s="409" t="s">
        <v>4971</v>
      </c>
      <c r="F614" s="409" t="s">
        <v>4972</v>
      </c>
      <c r="G614" s="409" t="s">
        <v>4973</v>
      </c>
      <c r="H614" s="465">
        <v>1421.44102</v>
      </c>
      <c r="I614" s="465">
        <v>51.10839</v>
      </c>
      <c r="J614" s="465">
        <v>188.25120000000001</v>
      </c>
      <c r="K614" s="465">
        <v>20369.9195</v>
      </c>
      <c r="L614" s="464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Optima sada tlmičov P+L</v>
      </c>
      <c r="C615" s="185">
        <f t="shared" si="19"/>
        <v>56.078699999999998</v>
      </c>
      <c r="D615" s="409" t="s">
        <v>3164</v>
      </c>
      <c r="E615" s="409" t="s">
        <v>4974</v>
      </c>
      <c r="F615" s="409" t="s">
        <v>1119</v>
      </c>
      <c r="G615" s="409" t="s">
        <v>4975</v>
      </c>
      <c r="H615" s="465">
        <v>1655.0528400000001</v>
      </c>
      <c r="I615" s="465">
        <v>56.078699999999998</v>
      </c>
      <c r="J615" s="465">
        <v>198.7062</v>
      </c>
      <c r="K615" s="465">
        <v>22984.33137</v>
      </c>
      <c r="L615" s="464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str">
        <f t="shared" si="18"/>
        <v>SEVROLL Herkules 2 horné vedenie 4m alu</v>
      </c>
      <c r="C616" s="185" t="e">
        <f t="shared" si="19"/>
        <v>#N/A</v>
      </c>
      <c r="D616" s="409" t="s">
        <v>3053</v>
      </c>
      <c r="E616" s="409" t="s">
        <v>4976</v>
      </c>
      <c r="F616" s="409" t="s">
        <v>4977</v>
      </c>
      <c r="G616" s="409" t="s">
        <v>4978</v>
      </c>
      <c r="H616" s="465" t="e">
        <v>#N/A</v>
      </c>
      <c r="I616" s="465" t="e">
        <v>#N/A</v>
      </c>
      <c r="J616" s="465" t="e">
        <v>#N/A</v>
      </c>
      <c r="K616" s="465" t="e">
        <v>#N/A</v>
      </c>
      <c r="L616" s="464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str">
        <f t="shared" si="18"/>
        <v>SEVROLL 02893 Maxim vodiaca lišta 6m strieborná</v>
      </c>
      <c r="C617" s="185" t="e">
        <f t="shared" si="19"/>
        <v>#N/A</v>
      </c>
      <c r="D617" s="409" t="s">
        <v>2920</v>
      </c>
      <c r="E617" s="409" t="s">
        <v>4979</v>
      </c>
      <c r="F617" s="409" t="s">
        <v>4980</v>
      </c>
      <c r="G617" s="409" t="s">
        <v>4981</v>
      </c>
      <c r="H617" s="465" t="e">
        <v>#N/A</v>
      </c>
      <c r="I617" s="465" t="e">
        <v>#N/A</v>
      </c>
      <c r="J617" s="465" t="e">
        <v>#N/A</v>
      </c>
      <c r="K617" s="465" t="e">
        <v>#N/A</v>
      </c>
      <c r="L617" s="464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9" t="e">
        <v>#N/A</v>
      </c>
      <c r="E618" s="409" t="e">
        <v>#N/A</v>
      </c>
      <c r="F618" s="409" t="e">
        <v>#N/A</v>
      </c>
      <c r="G618" s="409" t="e">
        <v>#N/A</v>
      </c>
      <c r="H618" s="465" t="e">
        <v>#N/A</v>
      </c>
      <c r="I618" s="465" t="e">
        <v>#N/A</v>
      </c>
      <c r="J618" s="465" t="e">
        <v>#N/A</v>
      </c>
      <c r="K618" s="465" t="e">
        <v>#N/A</v>
      </c>
      <c r="L618" s="464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str">
        <f t="shared" si="18"/>
        <v>SEVROLL Herkules sada kovania60kg, 1,5m</v>
      </c>
      <c r="C619" s="185" t="e">
        <f t="shared" si="19"/>
        <v>#N/A</v>
      </c>
      <c r="D619" s="409" t="s">
        <v>3057</v>
      </c>
      <c r="E619" s="409" t="s">
        <v>4982</v>
      </c>
      <c r="F619" s="409" t="s">
        <v>1151</v>
      </c>
      <c r="G619" s="409" t="s">
        <v>4983</v>
      </c>
      <c r="H619" s="465" t="e">
        <v>#N/A</v>
      </c>
      <c r="I619" s="465" t="e">
        <v>#N/A</v>
      </c>
      <c r="J619" s="465" t="e">
        <v>#N/A</v>
      </c>
      <c r="K619" s="465" t="e">
        <v>#N/A</v>
      </c>
      <c r="L619" s="464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str">
        <f t="shared" si="18"/>
        <v>SEVROLL Maxim spodná krycia lišta 3,5m 18mm oliva</v>
      </c>
      <c r="C620" s="185" t="e">
        <f t="shared" si="19"/>
        <v>#N/A</v>
      </c>
      <c r="D620" s="409" t="s">
        <v>3265</v>
      </c>
      <c r="E620" s="409" t="s">
        <v>4984</v>
      </c>
      <c r="F620" s="409" t="s">
        <v>4985</v>
      </c>
      <c r="G620" s="409" t="s">
        <v>4986</v>
      </c>
      <c r="H620" s="465" t="e">
        <v>#N/A</v>
      </c>
      <c r="I620" s="465" t="e">
        <v>#N/A</v>
      </c>
      <c r="J620" s="465" t="e">
        <v>#N/A</v>
      </c>
      <c r="K620" s="465" t="e">
        <v>#N/A</v>
      </c>
      <c r="L620" s="464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HORNÉ VEDENIE MAXIM 4,3M STR.</v>
      </c>
      <c r="C621" s="185">
        <f t="shared" si="19"/>
        <v>48.967509999999997</v>
      </c>
      <c r="D621" s="409" t="s">
        <v>2813</v>
      </c>
      <c r="E621" s="409" t="s">
        <v>4987</v>
      </c>
      <c r="F621" s="409" t="s">
        <v>4988</v>
      </c>
      <c r="G621" s="409" t="s">
        <v>4989</v>
      </c>
      <c r="H621" s="465">
        <v>1294.14483</v>
      </c>
      <c r="I621" s="465">
        <v>48.967509999999997</v>
      </c>
      <c r="J621" s="465">
        <v>173.51165</v>
      </c>
      <c r="K621" s="465">
        <v>19232.153289999998</v>
      </c>
      <c r="L621" s="464" t="s">
        <v>540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Comfort horné vedenie 3m strieborné</v>
      </c>
      <c r="C622" s="185">
        <f t="shared" si="19"/>
        <v>53.034059999999997</v>
      </c>
      <c r="D622" s="409" t="s">
        <v>3144</v>
      </c>
      <c r="E622" s="409" t="s">
        <v>4990</v>
      </c>
      <c r="F622" s="409" t="s">
        <v>1259</v>
      </c>
      <c r="G622" s="409" t="s">
        <v>4991</v>
      </c>
      <c r="H622" s="465">
        <v>1474.99839</v>
      </c>
      <c r="I622" s="465">
        <v>53.034059999999997</v>
      </c>
      <c r="J622" s="465">
        <v>191.09700000000001</v>
      </c>
      <c r="K622" s="465">
        <v>21137.42181</v>
      </c>
      <c r="L622" s="464" t="s">
        <v>538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9" t="e">
        <v>#N/A</v>
      </c>
      <c r="E623" s="409" t="e">
        <v>#N/A</v>
      </c>
      <c r="F623" s="409" t="e">
        <v>#N/A</v>
      </c>
      <c r="G623" s="409" t="e">
        <v>#N/A</v>
      </c>
      <c r="H623" s="465" t="e">
        <v>#N/A</v>
      </c>
      <c r="I623" s="465" t="e">
        <v>#N/A</v>
      </c>
      <c r="J623" s="465" t="e">
        <v>#N/A</v>
      </c>
      <c r="K623" s="465" t="e">
        <v>#N/A</v>
      </c>
      <c r="L623" s="464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horné vedenie 6m zlatá</v>
      </c>
      <c r="C624" s="185">
        <f t="shared" si="19"/>
        <v>62.454239999999999</v>
      </c>
      <c r="D624" s="409" t="s">
        <v>2845</v>
      </c>
      <c r="E624" s="409" t="s">
        <v>4992</v>
      </c>
      <c r="F624" s="409" t="s">
        <v>4993</v>
      </c>
      <c r="G624" s="409" t="s">
        <v>4994</v>
      </c>
      <c r="H624" s="465">
        <v>1736.99515</v>
      </c>
      <c r="I624" s="465">
        <v>62.454239999999999</v>
      </c>
      <c r="J624" s="465">
        <v>214.76429999999999</v>
      </c>
      <c r="K624" s="465">
        <v>24891.958839999999</v>
      </c>
      <c r="L624" s="464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spodné vedenie 6m oliva</v>
      </c>
      <c r="C625" s="185">
        <f t="shared" si="19"/>
        <v>63.885480000000001</v>
      </c>
      <c r="D625" s="409" t="s">
        <v>2891</v>
      </c>
      <c r="E625" s="409" t="s">
        <v>4995</v>
      </c>
      <c r="F625" s="409" t="s">
        <v>4996</v>
      </c>
      <c r="G625" s="409" t="s">
        <v>4997</v>
      </c>
      <c r="H625" s="465">
        <v>1776.8013000000001</v>
      </c>
      <c r="I625" s="465">
        <v>63.885480000000001</v>
      </c>
      <c r="J625" s="465">
        <v>219.68598</v>
      </c>
      <c r="K625" s="465">
        <v>25462.39976</v>
      </c>
      <c r="L625" s="464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str">
        <f t="shared" si="18"/>
        <v>SEVROLL Herkules sada kovania120kg, 1,2m</v>
      </c>
      <c r="C626" s="185" t="e">
        <f t="shared" si="19"/>
        <v>#N/A</v>
      </c>
      <c r="D626" s="409" t="s">
        <v>3056</v>
      </c>
      <c r="E626" s="409" t="s">
        <v>4998</v>
      </c>
      <c r="F626" s="409" t="s">
        <v>1159</v>
      </c>
      <c r="G626" s="409" t="s">
        <v>4999</v>
      </c>
      <c r="H626" s="465" t="e">
        <v>#N/A</v>
      </c>
      <c r="I626" s="465" t="e">
        <v>#N/A</v>
      </c>
      <c r="J626" s="465" t="e">
        <v>#N/A</v>
      </c>
      <c r="K626" s="465" t="e">
        <v>#N/A</v>
      </c>
      <c r="L626" s="464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Single horné vedenie 6m strieborná</v>
      </c>
      <c r="C627" s="185">
        <f t="shared" si="19"/>
        <v>52.773829999999997</v>
      </c>
      <c r="D627" s="409" t="s">
        <v>3228</v>
      </c>
      <c r="E627" s="409" t="s">
        <v>5000</v>
      </c>
      <c r="F627" s="409" t="s">
        <v>5001</v>
      </c>
      <c r="G627" s="409" t="s">
        <v>5002</v>
      </c>
      <c r="H627" s="465">
        <v>1467.76091</v>
      </c>
      <c r="I627" s="465">
        <v>52.773829999999997</v>
      </c>
      <c r="J627" s="465">
        <v>184.14060000000001</v>
      </c>
      <c r="K627" s="465">
        <v>21033.705300000001</v>
      </c>
      <c r="L627" s="464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HOR.VEDENIE COMFORT 3 M OLIVA</v>
      </c>
      <c r="C628" s="185">
        <f t="shared" si="19"/>
        <v>66.279560000000004</v>
      </c>
      <c r="D628" s="409" t="s">
        <v>2792</v>
      </c>
      <c r="E628" s="409" t="s">
        <v>5003</v>
      </c>
      <c r="F628" s="409" t="s">
        <v>5004</v>
      </c>
      <c r="G628" s="409" t="s">
        <v>5005</v>
      </c>
      <c r="H628" s="465">
        <v>1843.3861099999999</v>
      </c>
      <c r="I628" s="465">
        <v>66.279560000000004</v>
      </c>
      <c r="J628" s="465">
        <v>227.9186</v>
      </c>
      <c r="K628" s="465">
        <v>26416.59144</v>
      </c>
      <c r="L628" s="464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str">
        <f t="shared" si="18"/>
        <v>SEVROLL 214-379 Herkules plus horné vedenie 6m alu</v>
      </c>
      <c r="C629" s="185" t="e">
        <f t="shared" si="19"/>
        <v>#N/A</v>
      </c>
      <c r="D629" s="409" t="s">
        <v>3378</v>
      </c>
      <c r="E629" s="409" t="s">
        <v>5006</v>
      </c>
      <c r="F629" s="409" t="s">
        <v>5007</v>
      </c>
      <c r="G629" s="409" t="s">
        <v>5008</v>
      </c>
      <c r="H629" s="465" t="e">
        <v>#N/A</v>
      </c>
      <c r="I629" s="465" t="e">
        <v>#N/A</v>
      </c>
      <c r="J629" s="465" t="e">
        <v>#N/A</v>
      </c>
      <c r="K629" s="465" t="e">
        <v>#N/A</v>
      </c>
      <c r="L629" s="464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str">
        <f t="shared" si="18"/>
        <v>SEVROLL Maxim spod.krycia lišta 4,3m 18mm strieborná</v>
      </c>
      <c r="C630" s="185" t="e">
        <f t="shared" si="19"/>
        <v>#N/A</v>
      </c>
      <c r="D630" s="409" t="s">
        <v>2806</v>
      </c>
      <c r="E630" s="409" t="s">
        <v>5009</v>
      </c>
      <c r="F630" s="409" t="s">
        <v>5010</v>
      </c>
      <c r="G630" s="409" t="s">
        <v>5011</v>
      </c>
      <c r="H630" s="465" t="e">
        <v>#N/A</v>
      </c>
      <c r="I630" s="465" t="e">
        <v>#N/A</v>
      </c>
      <c r="J630" s="465" t="e">
        <v>#N/A</v>
      </c>
      <c r="K630" s="465" t="e">
        <v>#N/A</v>
      </c>
      <c r="L630" s="464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Gemini horné vedenie 6m oliva</v>
      </c>
      <c r="C631" s="185">
        <f t="shared" si="19"/>
        <v>62.454239999999999</v>
      </c>
      <c r="D631" s="409" t="s">
        <v>2844</v>
      </c>
      <c r="E631" s="409" t="s">
        <v>5012</v>
      </c>
      <c r="F631" s="409" t="s">
        <v>1247</v>
      </c>
      <c r="G631" s="409" t="s">
        <v>5013</v>
      </c>
      <c r="H631" s="465">
        <v>1736.99515</v>
      </c>
      <c r="I631" s="465">
        <v>62.454239999999999</v>
      </c>
      <c r="J631" s="465">
        <v>214.76429999999999</v>
      </c>
      <c r="K631" s="465">
        <v>24891.958839999999</v>
      </c>
      <c r="L631" s="464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tlumič dorazu Top SV60 - 2ks</v>
      </c>
      <c r="C632" s="185">
        <f t="shared" si="19"/>
        <v>51.030320000000003</v>
      </c>
      <c r="D632" s="409" t="s">
        <v>3275</v>
      </c>
      <c r="E632" s="409" t="s">
        <v>5014</v>
      </c>
      <c r="F632" s="409" t="s">
        <v>1094</v>
      </c>
      <c r="G632" s="409" t="s">
        <v>5015</v>
      </c>
      <c r="H632" s="465">
        <v>1506.0596700000001</v>
      </c>
      <c r="I632" s="465">
        <v>51.030320000000003</v>
      </c>
      <c r="J632" s="465">
        <v>170.82550000000001</v>
      </c>
      <c r="K632" s="465">
        <v>20915.208030000002</v>
      </c>
      <c r="L632" s="464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Idea sada kovania pre dvoje dvere 50kg</v>
      </c>
      <c r="C633" s="185">
        <f t="shared" si="19"/>
        <v>50.382359999999998</v>
      </c>
      <c r="D633" s="409" t="s">
        <v>3284</v>
      </c>
      <c r="E633" s="409" t="s">
        <v>5016</v>
      </c>
      <c r="F633" s="409" t="s">
        <v>5017</v>
      </c>
      <c r="G633" s="409" t="s">
        <v>5018</v>
      </c>
      <c r="H633" s="465">
        <v>1401.1760999999999</v>
      </c>
      <c r="I633" s="465">
        <v>50.382359999999998</v>
      </c>
      <c r="J633" s="465">
        <v>175.74600000000001</v>
      </c>
      <c r="K633" s="465">
        <v>20079.513620000002</v>
      </c>
      <c r="L633" s="464" t="s">
        <v>539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str">
        <f t="shared" si="18"/>
        <v>SEVROLL Maxim horné vedenie 4,3m oliva</v>
      </c>
      <c r="C634" s="185" t="e">
        <f t="shared" si="19"/>
        <v>#N/A</v>
      </c>
      <c r="D634" s="409" t="s">
        <v>3171</v>
      </c>
      <c r="E634" s="409" t="s">
        <v>5019</v>
      </c>
      <c r="F634" s="409" t="s">
        <v>1131</v>
      </c>
      <c r="G634" s="409" t="s">
        <v>5020</v>
      </c>
      <c r="H634" s="465" t="e">
        <v>#N/A</v>
      </c>
      <c r="I634" s="465" t="e">
        <v>#N/A</v>
      </c>
      <c r="J634" s="465" t="e">
        <v>#N/A</v>
      </c>
      <c r="K634" s="465" t="e">
        <v>#N/A</v>
      </c>
      <c r="L634" s="464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str">
        <f t="shared" si="18"/>
        <v>SEVROLL Herkules tlmič 40-80kg</v>
      </c>
      <c r="C635" s="185" t="e">
        <f t="shared" si="19"/>
        <v>#N/A</v>
      </c>
      <c r="D635" s="409" t="s">
        <v>2999</v>
      </c>
      <c r="E635" s="409" t="s">
        <v>5021</v>
      </c>
      <c r="F635" s="409" t="s">
        <v>1146</v>
      </c>
      <c r="G635" s="409" t="s">
        <v>5022</v>
      </c>
      <c r="H635" s="465" t="e">
        <v>#N/A</v>
      </c>
      <c r="I635" s="465" t="e">
        <v>#N/A</v>
      </c>
      <c r="J635" s="465" t="e">
        <v>#N/A</v>
      </c>
      <c r="K635" s="465" t="e">
        <v>#N/A</v>
      </c>
      <c r="L635" s="464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tlmič dorazu Top SV80 - 2ks</v>
      </c>
      <c r="C636" s="185">
        <f t="shared" si="19"/>
        <v>54.569389999999999</v>
      </c>
      <c r="D636" s="409" t="s">
        <v>3292</v>
      </c>
      <c r="E636" s="409" t="s">
        <v>5023</v>
      </c>
      <c r="F636" s="409" t="s">
        <v>1093</v>
      </c>
      <c r="G636" s="409" t="s">
        <v>5024</v>
      </c>
      <c r="H636" s="465">
        <v>1610.5084899999999</v>
      </c>
      <c r="I636" s="465">
        <v>54.569389999999999</v>
      </c>
      <c r="J636" s="465">
        <v>182.6087</v>
      </c>
      <c r="K636" s="465">
        <v>22365.727480000001</v>
      </c>
      <c r="L636" s="464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9" t="e">
        <v>#N/A</v>
      </c>
      <c r="E637" s="409" t="e">
        <v>#N/A</v>
      </c>
      <c r="F637" s="409" t="e">
        <v>#N/A</v>
      </c>
      <c r="G637" s="409" t="e">
        <v>#N/A</v>
      </c>
      <c r="H637" s="465" t="e">
        <v>#N/A</v>
      </c>
      <c r="I637" s="465" t="e">
        <v>#N/A</v>
      </c>
      <c r="J637" s="465" t="e">
        <v>#N/A</v>
      </c>
      <c r="K637" s="465" t="e">
        <v>#N/A</v>
      </c>
      <c r="L637" s="464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9" t="e">
        <v>#N/A</v>
      </c>
      <c r="E638" s="409" t="e">
        <v>#N/A</v>
      </c>
      <c r="F638" s="409" t="e">
        <v>#N/A</v>
      </c>
      <c r="G638" s="409" t="e">
        <v>#N/A</v>
      </c>
      <c r="H638" s="465" t="e">
        <v>#N/A</v>
      </c>
      <c r="I638" s="465" t="e">
        <v>#N/A</v>
      </c>
      <c r="J638" s="465" t="e">
        <v>#N/A</v>
      </c>
      <c r="K638" s="465" t="e">
        <v>#N/A</v>
      </c>
      <c r="L638" s="464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9" t="e">
        <v>#N/A</v>
      </c>
      <c r="E639" s="409" t="e">
        <v>#N/A</v>
      </c>
      <c r="F639" s="409" t="e">
        <v>#N/A</v>
      </c>
      <c r="G639" s="409" t="e">
        <v>#N/A</v>
      </c>
      <c r="H639" s="465" t="e">
        <v>#N/A</v>
      </c>
      <c r="I639" s="465" t="e">
        <v>#N/A</v>
      </c>
      <c r="J639" s="465" t="e">
        <v>#N/A</v>
      </c>
      <c r="K639" s="465" t="e">
        <v>#N/A</v>
      </c>
      <c r="L639" s="464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str">
        <f t="shared" si="18"/>
        <v>SEVROLL Maxim spodná krycia lišta 4,3m 18mm oliva</v>
      </c>
      <c r="C640" s="185" t="e">
        <f t="shared" si="19"/>
        <v>#N/A</v>
      </c>
      <c r="D640" s="409" t="s">
        <v>3176</v>
      </c>
      <c r="E640" s="409" t="s">
        <v>5025</v>
      </c>
      <c r="F640" s="409" t="s">
        <v>5026</v>
      </c>
      <c r="G640" s="409" t="s">
        <v>5027</v>
      </c>
      <c r="H640" s="465" t="e">
        <v>#N/A</v>
      </c>
      <c r="I640" s="465" t="e">
        <v>#N/A</v>
      </c>
      <c r="J640" s="465" t="e">
        <v>#N/A</v>
      </c>
      <c r="K640" s="465" t="e">
        <v>#N/A</v>
      </c>
      <c r="L640" s="464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9" t="e">
        <v>#N/A</v>
      </c>
      <c r="E641" s="409" t="e">
        <v>#N/A</v>
      </c>
      <c r="F641" s="409" t="e">
        <v>#N/A</v>
      </c>
      <c r="G641" s="409" t="e">
        <v>#N/A</v>
      </c>
      <c r="H641" s="465" t="e">
        <v>#N/A</v>
      </c>
      <c r="I641" s="465" t="e">
        <v>#N/A</v>
      </c>
      <c r="J641" s="465" t="e">
        <v>#N/A</v>
      </c>
      <c r="K641" s="465" t="e">
        <v>#N/A</v>
      </c>
      <c r="L641" s="464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str">
        <f t="shared" si="18"/>
        <v>SEVROLL Herkules sada kovania60kg, 1,8m</v>
      </c>
      <c r="C642" s="185" t="e">
        <f t="shared" si="19"/>
        <v>#N/A</v>
      </c>
      <c r="D642" s="409" t="s">
        <v>3059</v>
      </c>
      <c r="E642" s="409" t="s">
        <v>5028</v>
      </c>
      <c r="F642" s="409" t="s">
        <v>1150</v>
      </c>
      <c r="G642" s="409" t="s">
        <v>5029</v>
      </c>
      <c r="H642" s="465" t="e">
        <v>#N/A</v>
      </c>
      <c r="I642" s="465" t="e">
        <v>#N/A</v>
      </c>
      <c r="J642" s="465" t="e">
        <v>#N/A</v>
      </c>
      <c r="K642" s="465" t="e">
        <v>#N/A</v>
      </c>
      <c r="L642" s="464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str">
        <f t="shared" si="18"/>
        <v>SEVROLL Herkules sada kovania60kg, 2m</v>
      </c>
      <c r="C643" s="185" t="e">
        <f t="shared" si="19"/>
        <v>#N/A</v>
      </c>
      <c r="D643" s="409" t="s">
        <v>3061</v>
      </c>
      <c r="E643" s="409" t="s">
        <v>5030</v>
      </c>
      <c r="F643" s="409" t="s">
        <v>1148</v>
      </c>
      <c r="G643" s="409" t="s">
        <v>5031</v>
      </c>
      <c r="H643" s="465" t="e">
        <v>#N/A</v>
      </c>
      <c r="I643" s="465" t="e">
        <v>#N/A</v>
      </c>
      <c r="J643" s="465" t="e">
        <v>#N/A</v>
      </c>
      <c r="K643" s="465" t="e">
        <v>#N/A</v>
      </c>
      <c r="L643" s="464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str">
        <f t="shared" ref="B644:B707" si="20">IF($A$2=1,D644,IF($A$2=2,F644,IF($A$2=3,G644,IF($A$2=4,E644,IF($A$2&gt;4,P644,"zadat jazyk")))))</f>
        <v>SEVROLL Herkules sada kovania120kg, 1,5m</v>
      </c>
      <c r="C644" s="185" t="e">
        <f t="shared" ref="C644:C707" si="21">IF($A$2=1,H644,IF($A$2=2,I644,IF($A$2=3,J644,IF($A$2=4,K644,IF($A$2&gt;4,O644,"zadat jazyk")))))</f>
        <v>#N/A</v>
      </c>
      <c r="D644" s="409" t="s">
        <v>3058</v>
      </c>
      <c r="E644" s="409" t="s">
        <v>5032</v>
      </c>
      <c r="F644" s="409" t="s">
        <v>1158</v>
      </c>
      <c r="G644" s="409" t="s">
        <v>5033</v>
      </c>
      <c r="H644" s="465" t="e">
        <v>#N/A</v>
      </c>
      <c r="I644" s="465" t="e">
        <v>#N/A</v>
      </c>
      <c r="J644" s="465" t="e">
        <v>#N/A</v>
      </c>
      <c r="K644" s="465" t="e">
        <v>#N/A</v>
      </c>
      <c r="L644" s="464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sada pre úchytovú lištu Fox II</v>
      </c>
      <c r="C645" s="185">
        <f t="shared" si="21"/>
        <v>53.164169999999999</v>
      </c>
      <c r="D645" s="409" t="s">
        <v>2922</v>
      </c>
      <c r="E645" s="409" t="s">
        <v>5034</v>
      </c>
      <c r="F645" s="409" t="s">
        <v>5035</v>
      </c>
      <c r="G645" s="409" t="s">
        <v>5036</v>
      </c>
      <c r="H645" s="465">
        <v>1478.6171099999999</v>
      </c>
      <c r="I645" s="465">
        <v>53.164169999999999</v>
      </c>
      <c r="J645" s="465">
        <v>185.4768</v>
      </c>
      <c r="K645" s="465">
        <v>21189.279849999999</v>
      </c>
      <c r="L645" s="464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str">
        <f t="shared" si="20"/>
        <v>SEVROLL Herkules sada kovania120kg, 1,8m</v>
      </c>
      <c r="C646" s="185" t="e">
        <f t="shared" si="21"/>
        <v>#N/A</v>
      </c>
      <c r="D646" s="409" t="s">
        <v>3060</v>
      </c>
      <c r="E646" s="409" t="s">
        <v>5037</v>
      </c>
      <c r="F646" s="409" t="s">
        <v>1157</v>
      </c>
      <c r="G646" s="409" t="s">
        <v>5038</v>
      </c>
      <c r="H646" s="465" t="e">
        <v>#N/A</v>
      </c>
      <c r="I646" s="465" t="e">
        <v>#N/A</v>
      </c>
      <c r="J646" s="465" t="e">
        <v>#N/A</v>
      </c>
      <c r="K646" s="465" t="e">
        <v>#N/A</v>
      </c>
      <c r="L646" s="464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-COMFORT HORNÉ VEDENI 4,05M STR</v>
      </c>
      <c r="C647" s="185">
        <f t="shared" si="21"/>
        <v>71.614199999999997</v>
      </c>
      <c r="D647" s="409" t="s">
        <v>2786</v>
      </c>
      <c r="E647" s="409" t="s">
        <v>5039</v>
      </c>
      <c r="F647" s="409" t="s">
        <v>1186</v>
      </c>
      <c r="G647" s="409" t="s">
        <v>5040</v>
      </c>
      <c r="H647" s="465">
        <v>1991.7544399999999</v>
      </c>
      <c r="I647" s="465">
        <v>71.614199999999997</v>
      </c>
      <c r="J647" s="465">
        <v>257.95800000000003</v>
      </c>
      <c r="K647" s="465">
        <v>28542.77939</v>
      </c>
      <c r="L647" s="464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str">
        <f t="shared" si="20"/>
        <v>SEVROLL Herkules sada kovania60kg, 2,4m</v>
      </c>
      <c r="C648" s="185" t="e">
        <f t="shared" si="21"/>
        <v>#N/A</v>
      </c>
      <c r="D648" s="409" t="s">
        <v>3063</v>
      </c>
      <c r="E648" s="409" t="s">
        <v>5041</v>
      </c>
      <c r="F648" s="409" t="s">
        <v>1149</v>
      </c>
      <c r="G648" s="409" t="s">
        <v>5042</v>
      </c>
      <c r="H648" s="465" t="e">
        <v>#N/A</v>
      </c>
      <c r="I648" s="465" t="e">
        <v>#N/A</v>
      </c>
      <c r="J648" s="465" t="e">
        <v>#N/A</v>
      </c>
      <c r="K648" s="465" t="e">
        <v>#N/A</v>
      </c>
      <c r="L648" s="464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9" t="e">
        <v>#N/A</v>
      </c>
      <c r="E649" s="409" t="e">
        <v>#N/A</v>
      </c>
      <c r="F649" s="409" t="e">
        <v>#N/A</v>
      </c>
      <c r="G649" s="409" t="e">
        <v>#N/A</v>
      </c>
      <c r="H649" s="465" t="e">
        <v>#N/A</v>
      </c>
      <c r="I649" s="465" t="e">
        <v>#N/A</v>
      </c>
      <c r="J649" s="465" t="e">
        <v>#N/A</v>
      </c>
      <c r="K649" s="465" t="e">
        <v>#N/A</v>
      </c>
      <c r="L649" s="464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horné vedenie jednoduché 6m strieborná</v>
      </c>
      <c r="C650" s="185">
        <f t="shared" si="21"/>
        <v>66.721950000000007</v>
      </c>
      <c r="D650" s="409" t="s">
        <v>2934</v>
      </c>
      <c r="E650" s="409" t="s">
        <v>5043</v>
      </c>
      <c r="F650" s="409" t="s">
        <v>5044</v>
      </c>
      <c r="G650" s="409" t="s">
        <v>5045</v>
      </c>
      <c r="H650" s="465">
        <v>1855.6898100000001</v>
      </c>
      <c r="I650" s="465">
        <v>66.721950000000007</v>
      </c>
      <c r="J650" s="465">
        <v>232.83539999999999</v>
      </c>
      <c r="K650" s="465">
        <v>26592.909199999998</v>
      </c>
      <c r="L650" s="464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str">
        <f t="shared" si="20"/>
        <v>SEVROLL 02892 Maxim horné vedenie 6m strieborná</v>
      </c>
      <c r="C651" s="185" t="e">
        <f t="shared" si="21"/>
        <v>#N/A</v>
      </c>
      <c r="D651" s="409" t="s">
        <v>2944</v>
      </c>
      <c r="E651" s="409" t="s">
        <v>5046</v>
      </c>
      <c r="F651" s="409" t="s">
        <v>5047</v>
      </c>
      <c r="G651" s="409" t="s">
        <v>5048</v>
      </c>
      <c r="H651" s="465" t="e">
        <v>#N/A</v>
      </c>
      <c r="I651" s="465" t="e">
        <v>#N/A</v>
      </c>
      <c r="J651" s="465" t="e">
        <v>#N/A</v>
      </c>
      <c r="K651" s="465" t="e">
        <v>#N/A</v>
      </c>
      <c r="L651" s="464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str">
        <f t="shared" si="20"/>
        <v>SEVROLL Herkules sada kovania120kg, 2m</v>
      </c>
      <c r="C652" s="185" t="e">
        <f t="shared" si="21"/>
        <v>#N/A</v>
      </c>
      <c r="D652" s="409" t="s">
        <v>3062</v>
      </c>
      <c r="E652" s="409" t="s">
        <v>5049</v>
      </c>
      <c r="F652" s="409" t="s">
        <v>1155</v>
      </c>
      <c r="G652" s="409" t="s">
        <v>5050</v>
      </c>
      <c r="H652" s="465" t="e">
        <v>#N/A</v>
      </c>
      <c r="I652" s="465" t="e">
        <v>#N/A</v>
      </c>
      <c r="J652" s="465" t="e">
        <v>#N/A</v>
      </c>
      <c r="K652" s="465" t="e">
        <v>#N/A</v>
      </c>
      <c r="L652" s="464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str">
        <f t="shared" si="20"/>
        <v>ASTIN horné vedenie 3,6m kartáč.ČIERNA</v>
      </c>
      <c r="C653" s="185" t="e">
        <f t="shared" si="21"/>
        <v>#N/A</v>
      </c>
      <c r="D653" s="409" t="s">
        <v>1066</v>
      </c>
      <c r="E653" s="409" t="s">
        <v>5051</v>
      </c>
      <c r="F653" s="409" t="s">
        <v>1067</v>
      </c>
      <c r="G653" s="409" t="s">
        <v>5052</v>
      </c>
      <c r="H653" s="465" t="e">
        <v>#N/A</v>
      </c>
      <c r="I653" s="465" t="e">
        <v>#N/A</v>
      </c>
      <c r="J653" s="465" t="e">
        <v>#N/A</v>
      </c>
      <c r="K653" s="465" t="e">
        <v>#N/A</v>
      </c>
      <c r="L653" s="464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str">
        <f t="shared" si="20"/>
        <v>SEVROLL 02889  Maxim spodná krycia lišta 6m 10mm strieborná</v>
      </c>
      <c r="C654" s="185" t="e">
        <f t="shared" si="21"/>
        <v>#N/A</v>
      </c>
      <c r="D654" s="409" t="s">
        <v>2921</v>
      </c>
      <c r="E654" s="409" t="s">
        <v>5053</v>
      </c>
      <c r="F654" s="409" t="s">
        <v>5054</v>
      </c>
      <c r="G654" s="409" t="s">
        <v>5055</v>
      </c>
      <c r="H654" s="465" t="e">
        <v>#N/A</v>
      </c>
      <c r="I654" s="465" t="e">
        <v>#N/A</v>
      </c>
      <c r="J654" s="465" t="e">
        <v>#N/A</v>
      </c>
      <c r="K654" s="465" t="e">
        <v>#N/A</v>
      </c>
      <c r="L654" s="464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HOR.VEDENIE COMFORT 4,05 M OLIVA</v>
      </c>
      <c r="C655" s="185">
        <f t="shared" si="21"/>
        <v>89.465699999999998</v>
      </c>
      <c r="D655" s="409" t="s">
        <v>2793</v>
      </c>
      <c r="E655" s="409" t="s">
        <v>5056</v>
      </c>
      <c r="F655" s="409" t="s">
        <v>5057</v>
      </c>
      <c r="G655" s="409" t="s">
        <v>5058</v>
      </c>
      <c r="H655" s="465">
        <v>2488.2455599999998</v>
      </c>
      <c r="I655" s="465">
        <v>89.465699999999998</v>
      </c>
      <c r="J655" s="465">
        <v>307.64983999999998</v>
      </c>
      <c r="K655" s="465">
        <v>35657.731119999997</v>
      </c>
      <c r="L655" s="464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Line horné vedenie 2m alu surová</v>
      </c>
      <c r="C656" s="185">
        <f t="shared" si="21"/>
        <v>70.313069999999996</v>
      </c>
      <c r="D656" s="409" t="s">
        <v>2993</v>
      </c>
      <c r="E656" s="409" t="s">
        <v>5059</v>
      </c>
      <c r="F656" s="409" t="s">
        <v>1141</v>
      </c>
      <c r="G656" s="409" t="s">
        <v>5060</v>
      </c>
      <c r="H656" s="465">
        <v>1955.5670399999999</v>
      </c>
      <c r="I656" s="465">
        <v>70.313069999999996</v>
      </c>
      <c r="J656" s="465">
        <v>246.024</v>
      </c>
      <c r="K656" s="465">
        <v>28024.196909999999</v>
      </c>
      <c r="L656" s="464" t="s">
        <v>539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str">
        <f t="shared" si="20"/>
        <v>SEVROLL Herkules 2 horné vedenie 6m alu</v>
      </c>
      <c r="C657" s="185" t="e">
        <f t="shared" si="21"/>
        <v>#N/A</v>
      </c>
      <c r="D657" s="409" t="s">
        <v>3054</v>
      </c>
      <c r="E657" s="409" t="s">
        <v>5061</v>
      </c>
      <c r="F657" s="409" t="s">
        <v>5062</v>
      </c>
      <c r="G657" s="409" t="s">
        <v>5063</v>
      </c>
      <c r="H657" s="465" t="e">
        <v>#N/A</v>
      </c>
      <c r="I657" s="465" t="e">
        <v>#N/A</v>
      </c>
      <c r="J657" s="465" t="e">
        <v>#N/A</v>
      </c>
      <c r="K657" s="465" t="e">
        <v>#N/A</v>
      </c>
      <c r="L657" s="464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horné vedenie jednoduché 6m oliva</v>
      </c>
      <c r="C658" s="185">
        <f t="shared" si="21"/>
        <v>81.190510000000003</v>
      </c>
      <c r="D658" s="409" t="s">
        <v>2935</v>
      </c>
      <c r="E658" s="409" t="s">
        <v>5064</v>
      </c>
      <c r="F658" s="409" t="s">
        <v>5065</v>
      </c>
      <c r="G658" s="409" t="s">
        <v>5066</v>
      </c>
      <c r="H658" s="465">
        <v>2258.0936999999999</v>
      </c>
      <c r="I658" s="465">
        <v>81.190510000000003</v>
      </c>
      <c r="J658" s="465">
        <v>279.19358</v>
      </c>
      <c r="K658" s="465">
        <v>32359.5465</v>
      </c>
      <c r="L658" s="464" t="s">
        <v>539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Optima horné vedenie 6m strieb</v>
      </c>
      <c r="C659" s="185">
        <f t="shared" si="21"/>
        <v>81.684939999999997</v>
      </c>
      <c r="D659" s="409" t="s">
        <v>3201</v>
      </c>
      <c r="E659" s="409" t="s">
        <v>5067</v>
      </c>
      <c r="F659" s="409" t="s">
        <v>1120</v>
      </c>
      <c r="G659" s="409" t="s">
        <v>5068</v>
      </c>
      <c r="H659" s="465">
        <v>2271.8449099999998</v>
      </c>
      <c r="I659" s="465">
        <v>81.684939999999997</v>
      </c>
      <c r="J659" s="465">
        <v>304.86430000000001</v>
      </c>
      <c r="K659" s="465">
        <v>32556.60786</v>
      </c>
      <c r="L659" s="464" t="s">
        <v>539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str">
        <f t="shared" si="20"/>
        <v>SEVROLL Herkules sada kovania120kg, 2,4m</v>
      </c>
      <c r="C660" s="185" t="e">
        <f t="shared" si="21"/>
        <v>#N/A</v>
      </c>
      <c r="D660" s="409" t="s">
        <v>3064</v>
      </c>
      <c r="E660" s="409" t="s">
        <v>5069</v>
      </c>
      <c r="F660" s="409" t="s">
        <v>1156</v>
      </c>
      <c r="G660" s="409" t="s">
        <v>5070</v>
      </c>
      <c r="H660" s="465" t="e">
        <v>#N/A</v>
      </c>
      <c r="I660" s="465" t="e">
        <v>#N/A</v>
      </c>
      <c r="J660" s="465" t="e">
        <v>#N/A</v>
      </c>
      <c r="K660" s="465" t="e">
        <v>#N/A</v>
      </c>
      <c r="L660" s="464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str">
        <f t="shared" si="20"/>
        <v>SEVROLL Herkules sada kovania60kg, 3m</v>
      </c>
      <c r="C661" s="185" t="e">
        <f t="shared" si="21"/>
        <v>#N/A</v>
      </c>
      <c r="D661" s="409" t="s">
        <v>3065</v>
      </c>
      <c r="E661" s="409" t="s">
        <v>5071</v>
      </c>
      <c r="F661" s="409" t="s">
        <v>1147</v>
      </c>
      <c r="G661" s="409" t="s">
        <v>5072</v>
      </c>
      <c r="H661" s="465" t="e">
        <v>#N/A</v>
      </c>
      <c r="I661" s="465" t="e">
        <v>#N/A</v>
      </c>
      <c r="J661" s="465" t="e">
        <v>#N/A</v>
      </c>
      <c r="K661" s="465" t="e">
        <v>#N/A</v>
      </c>
      <c r="L661" s="464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bezpečnostná fólia 500mm/50m transparentná</v>
      </c>
      <c r="C662" s="185">
        <f t="shared" si="21"/>
        <v>71.301919999999996</v>
      </c>
      <c r="D662" s="409" t="s">
        <v>3289</v>
      </c>
      <c r="E662" s="409" t="s">
        <v>5073</v>
      </c>
      <c r="F662" s="409" t="s">
        <v>5074</v>
      </c>
      <c r="G662" s="409" t="s">
        <v>5075</v>
      </c>
      <c r="H662" s="465">
        <v>2104.3362999999999</v>
      </c>
      <c r="I662" s="465">
        <v>71.301919999999996</v>
      </c>
      <c r="J662" s="465">
        <v>238.62010000000001</v>
      </c>
      <c r="K662" s="465">
        <v>29223.69715</v>
      </c>
      <c r="L662" s="464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9" t="e">
        <v>#N/A</v>
      </c>
      <c r="E663" s="409" t="e">
        <v>#N/A</v>
      </c>
      <c r="F663" s="409" t="e">
        <v>#N/A</v>
      </c>
      <c r="G663" s="409" t="e">
        <v>#N/A</v>
      </c>
      <c r="H663" s="465" t="e">
        <v>#N/A</v>
      </c>
      <c r="I663" s="465" t="e">
        <v>#N/A</v>
      </c>
      <c r="J663" s="465" t="e">
        <v>#N/A</v>
      </c>
      <c r="K663" s="465" t="e">
        <v>#N/A</v>
      </c>
      <c r="L663" s="464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9" t="e">
        <v>#N/A</v>
      </c>
      <c r="E664" s="409" t="e">
        <v>#N/A</v>
      </c>
      <c r="F664" s="409" t="e">
        <v>#N/A</v>
      </c>
      <c r="G664" s="409" t="e">
        <v>#N/A</v>
      </c>
      <c r="H664" s="465" t="e">
        <v>#N/A</v>
      </c>
      <c r="I664" s="465" t="e">
        <v>#N/A</v>
      </c>
      <c r="J664" s="465" t="e">
        <v>#N/A</v>
      </c>
      <c r="K664" s="465" t="e">
        <v>#N/A</v>
      </c>
      <c r="L664" s="464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str">
        <f t="shared" si="20"/>
        <v>SEVROLL Herkules sada kovania120kg, 3m</v>
      </c>
      <c r="C665" s="185" t="e">
        <f t="shared" si="21"/>
        <v>#N/A</v>
      </c>
      <c r="D665" s="409" t="s">
        <v>3066</v>
      </c>
      <c r="E665" s="409" t="s">
        <v>5076</v>
      </c>
      <c r="F665" s="409" t="s">
        <v>1154</v>
      </c>
      <c r="G665" s="409" t="s">
        <v>5077</v>
      </c>
      <c r="H665" s="465" t="e">
        <v>#N/A</v>
      </c>
      <c r="I665" s="465" t="e">
        <v>#N/A</v>
      </c>
      <c r="J665" s="465" t="e">
        <v>#N/A</v>
      </c>
      <c r="K665" s="465" t="e">
        <v>#N/A</v>
      </c>
      <c r="L665" s="464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9" t="e">
        <v>#N/A</v>
      </c>
      <c r="E666" s="409" t="e">
        <v>#N/A</v>
      </c>
      <c r="F666" s="409" t="e">
        <v>#N/A</v>
      </c>
      <c r="G666" s="409" t="e">
        <v>#N/A</v>
      </c>
      <c r="H666" s="465" t="e">
        <v>#N/A</v>
      </c>
      <c r="I666" s="465" t="e">
        <v>#N/A</v>
      </c>
      <c r="J666" s="465" t="e">
        <v>#N/A</v>
      </c>
      <c r="K666" s="465" t="e">
        <v>#N/A</v>
      </c>
      <c r="L666" s="464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9" t="e">
        <v>#N/A</v>
      </c>
      <c r="E667" s="409" t="e">
        <v>#N/A</v>
      </c>
      <c r="F667" s="409" t="e">
        <v>#N/A</v>
      </c>
      <c r="G667" s="409" t="e">
        <v>#N/A</v>
      </c>
      <c r="H667" s="465" t="e">
        <v>#N/A</v>
      </c>
      <c r="I667" s="465" t="e">
        <v>#N/A</v>
      </c>
      <c r="J667" s="465" t="e">
        <v>#N/A</v>
      </c>
      <c r="K667" s="465" t="e">
        <v>#N/A</v>
      </c>
      <c r="L667" s="464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str">
        <f t="shared" si="20"/>
        <v>SEVROLL 219-313 Herkules Glass sada kovania 100kg</v>
      </c>
      <c r="C668" s="185" t="e">
        <f t="shared" si="21"/>
        <v>#N/A</v>
      </c>
      <c r="D668" s="409" t="s">
        <v>3325</v>
      </c>
      <c r="E668" s="409" t="s">
        <v>5078</v>
      </c>
      <c r="F668" s="409" t="s">
        <v>5079</v>
      </c>
      <c r="G668" s="409" t="s">
        <v>5080</v>
      </c>
      <c r="H668" s="465" t="e">
        <v>#N/A</v>
      </c>
      <c r="I668" s="465" t="e">
        <v>#N/A</v>
      </c>
      <c r="J668" s="465" t="e">
        <v>#N/A</v>
      </c>
      <c r="K668" s="465" t="e">
        <v>#N/A</v>
      </c>
      <c r="L668" s="464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Comfort horné vedenie 6m strieborné</v>
      </c>
      <c r="C669" s="185">
        <f t="shared" si="21"/>
        <v>106.09414</v>
      </c>
      <c r="D669" s="409" t="s">
        <v>3141</v>
      </c>
      <c r="E669" s="409" t="s">
        <v>5081</v>
      </c>
      <c r="F669" s="409" t="s">
        <v>1184</v>
      </c>
      <c r="G669" s="409" t="s">
        <v>5082</v>
      </c>
      <c r="H669" s="465">
        <v>2950.7205199999999</v>
      </c>
      <c r="I669" s="465">
        <v>106.09414</v>
      </c>
      <c r="J669" s="465">
        <v>382.18380000000002</v>
      </c>
      <c r="K669" s="465">
        <v>42285.215190000003</v>
      </c>
      <c r="L669" s="464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Line sada kovania pre 2 krídla-ľavá</v>
      </c>
      <c r="C670" s="185">
        <f t="shared" si="21"/>
        <v>57.197670000000002</v>
      </c>
      <c r="D670" s="409" t="s">
        <v>2995</v>
      </c>
      <c r="E670" s="409" t="s">
        <v>5083</v>
      </c>
      <c r="F670" s="409" t="s">
        <v>1140</v>
      </c>
      <c r="G670" s="409" t="s">
        <v>5084</v>
      </c>
      <c r="H670" s="465">
        <v>1590.7980700000001</v>
      </c>
      <c r="I670" s="465">
        <v>57.197670000000002</v>
      </c>
      <c r="J670" s="465">
        <v>368.93400000000003</v>
      </c>
      <c r="K670" s="465">
        <v>22796.885719999998</v>
      </c>
      <c r="L670" s="464" t="s">
        <v>539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Line sada kovania pre 2krídla- pravá</v>
      </c>
      <c r="C671" s="185">
        <f t="shared" si="21"/>
        <v>57.197670000000002</v>
      </c>
      <c r="D671" s="409" t="s">
        <v>2996</v>
      </c>
      <c r="E671" s="409" t="s">
        <v>5085</v>
      </c>
      <c r="F671" s="409" t="s">
        <v>1139</v>
      </c>
      <c r="G671" s="409" t="s">
        <v>5086</v>
      </c>
      <c r="H671" s="465">
        <v>1590.7980700000001</v>
      </c>
      <c r="I671" s="465">
        <v>57.197670000000002</v>
      </c>
      <c r="J671" s="465">
        <v>368.93400000000003</v>
      </c>
      <c r="K671" s="465">
        <v>22796.885719999998</v>
      </c>
      <c r="L671" s="464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Comfort horné vedenie 6m oliva</v>
      </c>
      <c r="C672" s="185">
        <f t="shared" si="21"/>
        <v>132.55912000000001</v>
      </c>
      <c r="D672" s="409" t="s">
        <v>3142</v>
      </c>
      <c r="E672" s="409" t="s">
        <v>5087</v>
      </c>
      <c r="F672" s="409" t="s">
        <v>1185</v>
      </c>
      <c r="G672" s="409" t="s">
        <v>5088</v>
      </c>
      <c r="H672" s="465">
        <v>3686.7721999999999</v>
      </c>
      <c r="I672" s="465">
        <v>132.55912000000001</v>
      </c>
      <c r="J672" s="465">
        <v>455.83721000000003</v>
      </c>
      <c r="K672" s="465">
        <v>52833.182480000003</v>
      </c>
      <c r="L672" s="464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str">
        <f t="shared" si="20"/>
        <v>SEVROLL Herkules Glass sada kov.100kg + 2m</v>
      </c>
      <c r="C673" s="185" t="e">
        <f t="shared" si="21"/>
        <v>#N/A</v>
      </c>
      <c r="D673" s="409" t="s">
        <v>2998</v>
      </c>
      <c r="E673" s="409" t="s">
        <v>5089</v>
      </c>
      <c r="F673" s="409" t="s">
        <v>1161</v>
      </c>
      <c r="G673" s="409" t="s">
        <v>5090</v>
      </c>
      <c r="H673" s="465" t="e">
        <v>#N/A</v>
      </c>
      <c r="I673" s="465" t="e">
        <v>#N/A</v>
      </c>
      <c r="J673" s="465" t="e">
        <v>#N/A</v>
      </c>
      <c r="K673" s="465" t="e">
        <v>#N/A</v>
      </c>
      <c r="L673" s="464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9" t="e">
        <v>#N/A</v>
      </c>
      <c r="E674" s="409" t="e">
        <v>#N/A</v>
      </c>
      <c r="F674" s="409" t="e">
        <v>#N/A</v>
      </c>
      <c r="G674" s="409" t="e">
        <v>#N/A</v>
      </c>
      <c r="H674" s="465" t="e">
        <v>#N/A</v>
      </c>
      <c r="I674" s="465" t="e">
        <v>#N/A</v>
      </c>
      <c r="J674" s="465" t="e">
        <v>#N/A</v>
      </c>
      <c r="K674" s="465" t="e">
        <v>#N/A</v>
      </c>
      <c r="L674" s="464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Prince sada kovania pre skládacie dvere 1200mm strieborná</v>
      </c>
      <c r="C675" s="185">
        <f t="shared" si="21"/>
        <v>191.89064999999999</v>
      </c>
      <c r="D675" s="409" t="s">
        <v>2767</v>
      </c>
      <c r="E675" s="409" t="s">
        <v>5091</v>
      </c>
      <c r="F675" s="409" t="s">
        <v>5092</v>
      </c>
      <c r="G675" s="409" t="s">
        <v>5093</v>
      </c>
      <c r="H675" s="465">
        <v>5336.91759</v>
      </c>
      <c r="I675" s="465">
        <v>191.89064999999999</v>
      </c>
      <c r="J675" s="465">
        <v>659.86327000000006</v>
      </c>
      <c r="K675" s="465">
        <v>76480.543369999999</v>
      </c>
      <c r="L675" s="464" t="s">
        <v>539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str">
        <f t="shared" si="20"/>
        <v>SEVROLL Maxim sada líšt pre 3 dv. 2,5m str.</v>
      </c>
      <c r="C676" s="185" t="e">
        <f t="shared" si="21"/>
        <v>#N/A</v>
      </c>
      <c r="D676" s="409" t="s">
        <v>5094</v>
      </c>
      <c r="E676" s="409" t="s">
        <v>5095</v>
      </c>
      <c r="F676" s="409" t="s">
        <v>1228</v>
      </c>
      <c r="G676" s="409" t="s">
        <v>5096</v>
      </c>
      <c r="H676" s="465" t="e">
        <v>#N/A</v>
      </c>
      <c r="I676" s="465" t="e">
        <v>#N/A</v>
      </c>
      <c r="J676" s="465" t="e">
        <v>#N/A</v>
      </c>
      <c r="K676" s="465" t="e">
        <v>#N/A</v>
      </c>
      <c r="L676" s="464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ANB-bezp.fólia 200mm/250m transparentná</v>
      </c>
      <c r="C677" s="185">
        <f t="shared" si="21"/>
        <v>89.778189999999995</v>
      </c>
      <c r="D677" s="409" t="s">
        <v>6734</v>
      </c>
      <c r="E677" s="409" t="s">
        <v>6735</v>
      </c>
      <c r="F677" s="409" t="s">
        <v>6736</v>
      </c>
      <c r="G677" s="409" t="s">
        <v>6737</v>
      </c>
      <c r="H677" s="465">
        <v>2337.9803999999999</v>
      </c>
      <c r="I677" s="465">
        <v>89.778189999999995</v>
      </c>
      <c r="J677" s="465">
        <v>325.75200000000001</v>
      </c>
      <c r="K677" s="465">
        <v>31435.509669999999</v>
      </c>
      <c r="L677" s="464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ANB-bezp.fólia 200mm/250m transparentná</v>
      </c>
      <c r="C678" s="185">
        <f t="shared" si="21"/>
        <v>112.22274</v>
      </c>
      <c r="D678" s="409" t="s">
        <v>6738</v>
      </c>
      <c r="E678" s="409" t="s">
        <v>6739</v>
      </c>
      <c r="F678" s="409" t="s">
        <v>6736</v>
      </c>
      <c r="G678" s="409" t="s">
        <v>6740</v>
      </c>
      <c r="H678" s="465">
        <v>2922.4755</v>
      </c>
      <c r="I678" s="465">
        <v>112.22274</v>
      </c>
      <c r="J678" s="465">
        <v>407.19</v>
      </c>
      <c r="K678" s="465">
        <v>39294.3871</v>
      </c>
      <c r="L678" s="464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ANB-bezp.fólia 300mm/250m transparentná</v>
      </c>
      <c r="C679" s="185">
        <f t="shared" si="21"/>
        <v>134.66729000000001</v>
      </c>
      <c r="D679" s="409" t="s">
        <v>6741</v>
      </c>
      <c r="E679" s="409" t="s">
        <v>6742</v>
      </c>
      <c r="F679" s="409" t="s">
        <v>6743</v>
      </c>
      <c r="G679" s="409" t="s">
        <v>6744</v>
      </c>
      <c r="H679" s="465">
        <v>3506.9706000000001</v>
      </c>
      <c r="I679" s="465">
        <v>134.66729000000001</v>
      </c>
      <c r="J679" s="465">
        <v>488.62799999999999</v>
      </c>
      <c r="K679" s="465">
        <v>47153.26453</v>
      </c>
      <c r="L679" s="464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ANB-bezp.fólia 400transparentná</v>
      </c>
      <c r="C680" s="185">
        <f t="shared" si="21"/>
        <v>179.55637999999999</v>
      </c>
      <c r="D680" s="409" t="s">
        <v>6745</v>
      </c>
      <c r="E680" s="409" t="s">
        <v>6746</v>
      </c>
      <c r="F680" s="409" t="s">
        <v>6747</v>
      </c>
      <c r="G680" s="409" t="s">
        <v>6748</v>
      </c>
      <c r="H680" s="465">
        <v>4675.9607999999998</v>
      </c>
      <c r="I680" s="465">
        <v>179.55637999999999</v>
      </c>
      <c r="J680" s="465">
        <v>651.50400000000002</v>
      </c>
      <c r="K680" s="465">
        <v>62871.019359999998</v>
      </c>
      <c r="L680" s="464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ANB-bezp.fólia 500mm/250m transparentná</v>
      </c>
      <c r="C681" s="185">
        <f t="shared" si="21"/>
        <v>224.44548</v>
      </c>
      <c r="D681" s="409" t="s">
        <v>6749</v>
      </c>
      <c r="E681" s="409" t="s">
        <v>6750</v>
      </c>
      <c r="F681" s="409" t="s">
        <v>6751</v>
      </c>
      <c r="G681" s="409" t="s">
        <v>6752</v>
      </c>
      <c r="H681" s="465">
        <v>5844.951</v>
      </c>
      <c r="I681" s="465">
        <v>224.44548</v>
      </c>
      <c r="J681" s="465">
        <v>814.38</v>
      </c>
      <c r="K681" s="465">
        <v>78588.7742</v>
      </c>
      <c r="L681" s="464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9" t="e">
        <v>#N/A</v>
      </c>
      <c r="E682" s="409" t="e">
        <v>#N/A</v>
      </c>
      <c r="F682" s="409" t="e">
        <v>#N/A</v>
      </c>
      <c r="G682" s="409" t="e">
        <v>#N/A</v>
      </c>
      <c r="H682" s="465" t="e">
        <v>#N/A</v>
      </c>
      <c r="I682" s="465" t="e">
        <v>#N/A</v>
      </c>
      <c r="J682" s="465" t="e">
        <v>#N/A</v>
      </c>
      <c r="K682" s="465" t="e">
        <v>#N/A</v>
      </c>
      <c r="L682" s="464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9" t="e">
        <v>#N/A</v>
      </c>
      <c r="E683" s="409" t="e">
        <v>#N/A</v>
      </c>
      <c r="F683" s="409" t="e">
        <v>#N/A</v>
      </c>
      <c r="G683" s="409" t="e">
        <v>#N/A</v>
      </c>
      <c r="H683" s="465" t="e">
        <v>#N/A</v>
      </c>
      <c r="I683" s="465" t="e">
        <v>#N/A</v>
      </c>
      <c r="J683" s="465" t="e">
        <v>#N/A</v>
      </c>
      <c r="K683" s="465" t="e">
        <v>#N/A</v>
      </c>
      <c r="L683" s="464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OKE-kartáč dorazový samolepiaci 6,7x3mm šedý</v>
      </c>
      <c r="C684" s="185">
        <f t="shared" si="21"/>
        <v>0.71497999999999995</v>
      </c>
      <c r="D684" s="409" t="s">
        <v>6765</v>
      </c>
      <c r="E684" s="409" t="s">
        <v>6766</v>
      </c>
      <c r="F684" s="409" t="s">
        <v>6767</v>
      </c>
      <c r="G684" s="409" t="s">
        <v>6768</v>
      </c>
      <c r="H684" s="465">
        <v>18.406849999999999</v>
      </c>
      <c r="I684" s="465">
        <v>0.71497999999999995</v>
      </c>
      <c r="J684" s="465">
        <v>3.0701999999999998</v>
      </c>
      <c r="K684" s="465">
        <v>309.10646000000003</v>
      </c>
      <c r="L684" s="464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OKE-kartáč dorazový samolepiaci 6,7x5mm šedý</v>
      </c>
      <c r="C685" s="185">
        <f t="shared" si="21"/>
        <v>0.76044</v>
      </c>
      <c r="D685" s="409" t="s">
        <v>6769</v>
      </c>
      <c r="E685" s="409" t="s">
        <v>6770</v>
      </c>
      <c r="F685" s="409" t="s">
        <v>6771</v>
      </c>
      <c r="G685" s="409" t="s">
        <v>6772</v>
      </c>
      <c r="H685" s="465">
        <v>19.57723</v>
      </c>
      <c r="I685" s="465">
        <v>0.76044</v>
      </c>
      <c r="J685" s="465">
        <v>3.2654200000000002</v>
      </c>
      <c r="K685" s="465">
        <v>327.78870999999998</v>
      </c>
      <c r="L685" s="464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9" t="e">
        <v>#N/A</v>
      </c>
      <c r="E686" s="409" t="e">
        <v>#N/A</v>
      </c>
      <c r="F686" s="409" t="e">
        <v>#N/A</v>
      </c>
      <c r="G686" s="409" t="e">
        <v>#N/A</v>
      </c>
      <c r="H686" s="465" t="e">
        <v>#N/A</v>
      </c>
      <c r="I686" s="465" t="e">
        <v>#N/A</v>
      </c>
      <c r="J686" s="465" t="e">
        <v>#N/A</v>
      </c>
      <c r="K686" s="465" t="e">
        <v>#N/A</v>
      </c>
      <c r="L686" s="464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9" t="e">
        <v>#N/A</v>
      </c>
      <c r="E687" s="409" t="e">
        <v>#N/A</v>
      </c>
      <c r="F687" s="409" t="e">
        <v>#N/A</v>
      </c>
      <c r="G687" s="409" t="e">
        <v>#N/A</v>
      </c>
      <c r="H687" s="465" t="e">
        <v>#N/A</v>
      </c>
      <c r="I687" s="465" t="e">
        <v>#N/A</v>
      </c>
      <c r="J687" s="465" t="e">
        <v>#N/A</v>
      </c>
      <c r="K687" s="465" t="e">
        <v>#N/A</v>
      </c>
      <c r="L687" s="464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spodný vozík WD18V bez pozicionéru s pružinou</v>
      </c>
      <c r="C688" s="185">
        <f t="shared" si="21"/>
        <v>5.2305400000000004</v>
      </c>
      <c r="D688" s="409" t="s">
        <v>3439</v>
      </c>
      <c r="E688" s="409" t="s">
        <v>5097</v>
      </c>
      <c r="F688" s="409" t="s">
        <v>5098</v>
      </c>
      <c r="G688" s="409" t="s">
        <v>5099</v>
      </c>
      <c r="H688" s="465">
        <v>154.36919</v>
      </c>
      <c r="I688" s="465">
        <v>5.2305400000000004</v>
      </c>
      <c r="J688" s="465">
        <v>24.316800000000001</v>
      </c>
      <c r="K688" s="465">
        <v>2143.7821199999998</v>
      </c>
      <c r="L688" s="464" t="s">
        <v>695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Cleft spodné vedenie 1,7m oliva</v>
      </c>
      <c r="C689" s="185">
        <f t="shared" si="21"/>
        <v>6.5603600000000002</v>
      </c>
      <c r="D689" s="409" t="s">
        <v>2642</v>
      </c>
      <c r="E689" s="409" t="s">
        <v>5100</v>
      </c>
      <c r="F689" s="409" t="s">
        <v>1065</v>
      </c>
      <c r="G689" s="409" t="s">
        <v>5101</v>
      </c>
      <c r="H689" s="465">
        <v>166.1</v>
      </c>
      <c r="I689" s="465">
        <v>6.5603600000000002</v>
      </c>
      <c r="J689" s="465">
        <v>0</v>
      </c>
      <c r="K689" s="465">
        <v>2839.22181</v>
      </c>
      <c r="L689" s="464" t="s">
        <v>540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Cleft spodné vedenie 1,7m strieborná</v>
      </c>
      <c r="C690" s="185">
        <f t="shared" si="21"/>
        <v>6.5603600000000002</v>
      </c>
      <c r="D690" s="409" t="s">
        <v>2643</v>
      </c>
      <c r="E690" s="409" t="s">
        <v>5102</v>
      </c>
      <c r="F690" s="409" t="s">
        <v>1064</v>
      </c>
      <c r="G690" s="409" t="s">
        <v>5103</v>
      </c>
      <c r="H690" s="465">
        <v>166.1</v>
      </c>
      <c r="I690" s="465">
        <v>6.5603600000000002</v>
      </c>
      <c r="J690" s="465">
        <v>0</v>
      </c>
      <c r="K690" s="465">
        <v>2839.22181</v>
      </c>
      <c r="L690" s="464" t="s">
        <v>540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str">
        <f t="shared" si="20"/>
        <v>SEVROLL Cleft spodné vedenie 1,7m zlatá</v>
      </c>
      <c r="C691" s="185" t="e">
        <f t="shared" si="21"/>
        <v>#N/A</v>
      </c>
      <c r="D691" s="409" t="s">
        <v>2641</v>
      </c>
      <c r="E691" s="409" t="s">
        <v>5104</v>
      </c>
      <c r="F691" s="409" t="s">
        <v>5105</v>
      </c>
      <c r="G691" s="409" t="s">
        <v>5106</v>
      </c>
      <c r="H691" s="465" t="e">
        <v>#N/A</v>
      </c>
      <c r="I691" s="465" t="e">
        <v>#N/A</v>
      </c>
      <c r="J691" s="465" t="e">
        <v>#N/A</v>
      </c>
      <c r="K691" s="465" t="e">
        <v>#N/A</v>
      </c>
      <c r="L691" s="464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9" t="e">
        <v>#N/A</v>
      </c>
      <c r="E692" s="409" t="e">
        <v>#N/A</v>
      </c>
      <c r="F692" s="409" t="e">
        <v>#N/A</v>
      </c>
      <c r="G692" s="409" t="e">
        <v>#N/A</v>
      </c>
      <c r="H692" s="465" t="e">
        <v>#N/A</v>
      </c>
      <c r="I692" s="465" t="e">
        <v>#N/A</v>
      </c>
      <c r="J692" s="465" t="e">
        <v>#N/A</v>
      </c>
      <c r="K692" s="465" t="e">
        <v>#N/A</v>
      </c>
      <c r="L692" s="464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9" t="e">
        <v>#N/A</v>
      </c>
      <c r="E693" s="409" t="e">
        <v>#N/A</v>
      </c>
      <c r="F693" s="409" t="e">
        <v>#N/A</v>
      </c>
      <c r="G693" s="409" t="e">
        <v>#N/A</v>
      </c>
      <c r="H693" s="465" t="e">
        <v>#N/A</v>
      </c>
      <c r="I693" s="465" t="e">
        <v>#N/A</v>
      </c>
      <c r="J693" s="465" t="e">
        <v>#N/A</v>
      </c>
      <c r="K693" s="465" t="e">
        <v>#N/A</v>
      </c>
      <c r="L693" s="464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9" t="e">
        <v>#N/A</v>
      </c>
      <c r="E694" s="409" t="e">
        <v>#N/A</v>
      </c>
      <c r="F694" s="409" t="e">
        <v>#N/A</v>
      </c>
      <c r="G694" s="409" t="e">
        <v>#N/A</v>
      </c>
      <c r="H694" s="465" t="e">
        <v>#N/A</v>
      </c>
      <c r="I694" s="465" t="e">
        <v>#N/A</v>
      </c>
      <c r="J694" s="465" t="e">
        <v>#N/A</v>
      </c>
      <c r="K694" s="465" t="e">
        <v>#N/A</v>
      </c>
      <c r="L694" s="464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9" t="e">
        <v>#N/A</v>
      </c>
      <c r="E695" s="409" t="e">
        <v>#N/A</v>
      </c>
      <c r="F695" s="409" t="e">
        <v>#N/A</v>
      </c>
      <c r="G695" s="409" t="e">
        <v>#N/A</v>
      </c>
      <c r="H695" s="465" t="e">
        <v>#N/A</v>
      </c>
      <c r="I695" s="465" t="e">
        <v>#N/A</v>
      </c>
      <c r="J695" s="465" t="e">
        <v>#N/A</v>
      </c>
      <c r="K695" s="465" t="e">
        <v>#N/A</v>
      </c>
      <c r="L695" s="464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str">
        <f t="shared" si="20"/>
        <v>SEVROLL spodné vedenie 3m zlatá</v>
      </c>
      <c r="C696" s="185" t="e">
        <f t="shared" si="21"/>
        <v>#N/A</v>
      </c>
      <c r="D696" s="409" t="s">
        <v>2644</v>
      </c>
      <c r="E696" s="409" t="s">
        <v>5107</v>
      </c>
      <c r="F696" s="409" t="s">
        <v>1063</v>
      </c>
      <c r="G696" s="409" t="s">
        <v>5108</v>
      </c>
      <c r="H696" s="465" t="e">
        <v>#N/A</v>
      </c>
      <c r="I696" s="465" t="e">
        <v>#N/A</v>
      </c>
      <c r="J696" s="465" t="e">
        <v>#N/A</v>
      </c>
      <c r="K696" s="465" t="e">
        <v>#N/A</v>
      </c>
      <c r="L696" s="464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9" t="e">
        <v>#N/A</v>
      </c>
      <c r="E697" s="409" t="e">
        <v>#N/A</v>
      </c>
      <c r="F697" s="409" t="e">
        <v>#N/A</v>
      </c>
      <c r="G697" s="409" t="e">
        <v>#N/A</v>
      </c>
      <c r="H697" s="465" t="e">
        <v>#N/A</v>
      </c>
      <c r="I697" s="465" t="e">
        <v>#N/A</v>
      </c>
      <c r="J697" s="465" t="e">
        <v>#N/A</v>
      </c>
      <c r="K697" s="465" t="e">
        <v>#N/A</v>
      </c>
      <c r="L697" s="464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9" t="e">
        <v>#N/A</v>
      </c>
      <c r="E698" s="409" t="e">
        <v>#N/A</v>
      </c>
      <c r="F698" s="409" t="e">
        <v>#N/A</v>
      </c>
      <c r="G698" s="409" t="e">
        <v>#N/A</v>
      </c>
      <c r="H698" s="465" t="e">
        <v>#N/A</v>
      </c>
      <c r="I698" s="465" t="e">
        <v>#N/A</v>
      </c>
      <c r="J698" s="465" t="e">
        <v>#N/A</v>
      </c>
      <c r="K698" s="465" t="e">
        <v>#N/A</v>
      </c>
      <c r="L698" s="464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str">
        <f t="shared" si="20"/>
        <v>SEVROLL spodné vedenie 4,05m zlatá</v>
      </c>
      <c r="C699" s="185" t="e">
        <f t="shared" si="21"/>
        <v>#N/A</v>
      </c>
      <c r="D699" s="409" t="s">
        <v>2645</v>
      </c>
      <c r="E699" s="409" t="s">
        <v>5109</v>
      </c>
      <c r="F699" s="409" t="s">
        <v>1062</v>
      </c>
      <c r="G699" s="409" t="s">
        <v>5110</v>
      </c>
      <c r="H699" s="465" t="e">
        <v>#N/A</v>
      </c>
      <c r="I699" s="465" t="e">
        <v>#N/A</v>
      </c>
      <c r="J699" s="465" t="e">
        <v>#N/A</v>
      </c>
      <c r="K699" s="465" t="e">
        <v>#N/A</v>
      </c>
      <c r="L699" s="464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Cleft spodné vedenie 6m strieborná</v>
      </c>
      <c r="C700" s="185">
        <f t="shared" si="21"/>
        <v>0</v>
      </c>
      <c r="D700" s="409" t="s">
        <v>2846</v>
      </c>
      <c r="E700" s="409" t="s">
        <v>5111</v>
      </c>
      <c r="F700" s="409" t="s">
        <v>1061</v>
      </c>
      <c r="G700" s="409" t="s">
        <v>5112</v>
      </c>
      <c r="H700" s="465">
        <v>0</v>
      </c>
      <c r="I700" s="465">
        <v>0</v>
      </c>
      <c r="J700" s="465">
        <v>0</v>
      </c>
      <c r="K700" s="465">
        <v>0</v>
      </c>
      <c r="L700" s="464" t="s">
        <v>540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dorazový kartáč samolep. 4,8x4mm</v>
      </c>
      <c r="C701" s="185">
        <f t="shared" si="21"/>
        <v>0.18564</v>
      </c>
      <c r="D701" s="409" t="s">
        <v>2690</v>
      </c>
      <c r="E701" s="409" t="s">
        <v>5113</v>
      </c>
      <c r="F701" s="409" t="s">
        <v>1258</v>
      </c>
      <c r="G701" s="409" t="s">
        <v>5114</v>
      </c>
      <c r="H701" s="465">
        <v>5.7114900000000004</v>
      </c>
      <c r="I701" s="465">
        <v>0.18564</v>
      </c>
      <c r="J701" s="465">
        <v>0.76500000000000001</v>
      </c>
      <c r="K701" s="465">
        <v>55.272480000000002</v>
      </c>
      <c r="L701" s="464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str">
        <f t="shared" si="20"/>
        <v>SEVROLL dorazový kartáč samolepiaci 4,8x4mm</v>
      </c>
      <c r="C702" s="185" t="e">
        <f t="shared" si="21"/>
        <v>#N/A</v>
      </c>
      <c r="D702" s="409" t="s">
        <v>2690</v>
      </c>
      <c r="E702" s="409" t="s">
        <v>5113</v>
      </c>
      <c r="F702" s="409" t="s">
        <v>5115</v>
      </c>
      <c r="G702" s="409" t="s">
        <v>5116</v>
      </c>
      <c r="H702" s="465" t="e">
        <v>#N/A</v>
      </c>
      <c r="I702" s="465" t="e">
        <v>#N/A</v>
      </c>
      <c r="J702" s="465" t="e">
        <v>#N/A</v>
      </c>
      <c r="K702" s="465" t="e">
        <v>#N/A</v>
      </c>
      <c r="L702" s="464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protiprachový kartáč samolep. 6,7x13mm</v>
      </c>
      <c r="C703" s="185">
        <f t="shared" si="21"/>
        <v>0.34048</v>
      </c>
      <c r="D703" s="409" t="s">
        <v>1191</v>
      </c>
      <c r="E703" s="409" t="s">
        <v>5117</v>
      </c>
      <c r="F703" s="409" t="s">
        <v>1192</v>
      </c>
      <c r="G703" s="409" t="s">
        <v>5118</v>
      </c>
      <c r="H703" s="465">
        <v>10.475239999999999</v>
      </c>
      <c r="I703" s="465">
        <v>0.34048</v>
      </c>
      <c r="J703" s="465">
        <v>1.2647999999999999</v>
      </c>
      <c r="K703" s="465">
        <v>101.37326</v>
      </c>
      <c r="L703" s="464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dorazový kartáč samolepiaci 6,7x4mm</v>
      </c>
      <c r="C704" s="185">
        <f t="shared" si="21"/>
        <v>0.20458000000000001</v>
      </c>
      <c r="D704" s="409" t="s">
        <v>1180</v>
      </c>
      <c r="E704" s="409" t="s">
        <v>5119</v>
      </c>
      <c r="F704" s="409" t="s">
        <v>1193</v>
      </c>
      <c r="G704" s="409" t="s">
        <v>5120</v>
      </c>
      <c r="H704" s="465">
        <v>6.2927099999999996</v>
      </c>
      <c r="I704" s="465">
        <v>0.20458000000000001</v>
      </c>
      <c r="J704" s="465">
        <v>1.0506</v>
      </c>
      <c r="K704" s="465">
        <v>60.897199999999998</v>
      </c>
      <c r="L704" s="464" t="s">
        <v>695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dorazový (protiprachový) kartáč samolepiaci 6,7x9mm šedý</v>
      </c>
      <c r="C705" s="185">
        <f t="shared" si="21"/>
        <v>0.39034000000000002</v>
      </c>
      <c r="D705" s="409" t="s">
        <v>5121</v>
      </c>
      <c r="E705" s="409" t="s">
        <v>5122</v>
      </c>
      <c r="F705" s="409" t="s">
        <v>5123</v>
      </c>
      <c r="G705" s="409" t="s">
        <v>5124</v>
      </c>
      <c r="H705" s="465">
        <v>11.520099999999999</v>
      </c>
      <c r="I705" s="465">
        <v>0.39034000000000002</v>
      </c>
      <c r="J705" s="465">
        <v>1.581</v>
      </c>
      <c r="K705" s="465">
        <v>159.98396</v>
      </c>
      <c r="L705" s="464" t="s">
        <v>695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dorazová kefa zásuvná 14x4mm sivá</v>
      </c>
      <c r="C706" s="185">
        <f t="shared" si="21"/>
        <v>0.2218</v>
      </c>
      <c r="D706" s="409" t="s">
        <v>2773</v>
      </c>
      <c r="E706" s="409" t="s">
        <v>5125</v>
      </c>
      <c r="F706" s="409" t="s">
        <v>5126</v>
      </c>
      <c r="G706" s="409" t="s">
        <v>5127</v>
      </c>
      <c r="H706" s="465">
        <v>6.8234399999999997</v>
      </c>
      <c r="I706" s="465">
        <v>0.2218</v>
      </c>
      <c r="J706" s="465">
        <v>1.224</v>
      </c>
      <c r="K706" s="465">
        <v>66.033280000000005</v>
      </c>
      <c r="L706" s="464" t="s">
        <v>695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dorazový kartáč zásuvný 14x4mm, 50m</v>
      </c>
      <c r="C707" s="185">
        <f t="shared" si="21"/>
        <v>15.405379999999999</v>
      </c>
      <c r="D707" s="409" t="s">
        <v>3182</v>
      </c>
      <c r="E707" s="409" t="s">
        <v>5128</v>
      </c>
      <c r="F707" s="409" t="s">
        <v>5129</v>
      </c>
      <c r="G707" s="409" t="s">
        <v>5130</v>
      </c>
      <c r="H707" s="465">
        <v>454.65951999999999</v>
      </c>
      <c r="I707" s="465">
        <v>15.405379999999999</v>
      </c>
      <c r="J707" s="465">
        <v>68.401200000000003</v>
      </c>
      <c r="K707" s="465">
        <v>6314.0249899999999</v>
      </c>
      <c r="L707" s="464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dorazová kefa zásuvná 4,8x4mm sivá</v>
      </c>
      <c r="C708" s="185">
        <f t="shared" ref="C708:C771" si="23">IF($A$2=1,H708,IF($A$2=2,I708,IF($A$2=3,J708,IF($A$2=4,K708,IF($A$2&gt;4,O708,"zadat jazyk")))))</f>
        <v>0.13</v>
      </c>
      <c r="D708" s="409" t="s">
        <v>3152</v>
      </c>
      <c r="E708" s="409" t="s">
        <v>5131</v>
      </c>
      <c r="F708" s="409" t="s">
        <v>5132</v>
      </c>
      <c r="G708" s="409" t="s">
        <v>5133</v>
      </c>
      <c r="H708" s="465">
        <v>3.45</v>
      </c>
      <c r="I708" s="465">
        <v>0.13</v>
      </c>
      <c r="J708" s="465">
        <v>0.35</v>
      </c>
      <c r="K708" s="465">
        <v>24.212029999999999</v>
      </c>
      <c r="L708" s="464" t="s">
        <v>695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dorazová štetina zásuvná 4,8x4mm biela</v>
      </c>
      <c r="C709" s="185">
        <f t="shared" si="23"/>
        <v>0.15629999999999999</v>
      </c>
      <c r="D709" s="409" t="s">
        <v>3290</v>
      </c>
      <c r="E709" s="409" t="s">
        <v>5134</v>
      </c>
      <c r="F709" s="409" t="s">
        <v>5135</v>
      </c>
      <c r="G709" s="409" t="s">
        <v>5136</v>
      </c>
      <c r="H709" s="465">
        <v>4.6080500000000004</v>
      </c>
      <c r="I709" s="465">
        <v>0.15629999999999999</v>
      </c>
      <c r="J709" s="465">
        <v>0.59363999999999995</v>
      </c>
      <c r="K709" s="465">
        <v>63.993670000000002</v>
      </c>
      <c r="L709" s="464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20021-BL dorazový kartáč zásuvný 4,8x6mm</v>
      </c>
      <c r="C710" s="185">
        <f t="shared" si="23"/>
        <v>0.13933000000000001</v>
      </c>
      <c r="D710" s="409" t="s">
        <v>2943</v>
      </c>
      <c r="E710" s="409" t="s">
        <v>5137</v>
      </c>
      <c r="F710" s="409" t="s">
        <v>5138</v>
      </c>
      <c r="G710" s="409" t="s">
        <v>5139</v>
      </c>
      <c r="H710" s="465">
        <v>4.0809699999999998</v>
      </c>
      <c r="I710" s="465">
        <v>0.13933000000000001</v>
      </c>
      <c r="J710" s="465">
        <v>0.54059999999999997</v>
      </c>
      <c r="K710" s="465">
        <v>54.124229999999997</v>
      </c>
      <c r="L710" s="464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protiprachový kartáč zásuvný 4,8x9mm šedý</v>
      </c>
      <c r="C711" s="185">
        <f t="shared" si="23"/>
        <v>0.23419999999999999</v>
      </c>
      <c r="D711" s="409" t="s">
        <v>3291</v>
      </c>
      <c r="E711" s="409" t="s">
        <v>5140</v>
      </c>
      <c r="F711" s="409" t="s">
        <v>3291</v>
      </c>
      <c r="G711" s="409" t="s">
        <v>5141</v>
      </c>
      <c r="H711" s="465">
        <v>6.9120600000000003</v>
      </c>
      <c r="I711" s="465">
        <v>0.23419999999999999</v>
      </c>
      <c r="J711" s="465">
        <v>0.89759999999999995</v>
      </c>
      <c r="K711" s="465">
        <v>95.990279999999998</v>
      </c>
      <c r="L711" s="464" t="s">
        <v>695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dorazová štetina zásuvná 14x4mm biela</v>
      </c>
      <c r="C712" s="185">
        <f t="shared" si="23"/>
        <v>0.39034000000000002</v>
      </c>
      <c r="D712" s="409" t="s">
        <v>3293</v>
      </c>
      <c r="E712" s="409" t="s">
        <v>5142</v>
      </c>
      <c r="F712" s="409" t="s">
        <v>5143</v>
      </c>
      <c r="G712" s="409" t="s">
        <v>5144</v>
      </c>
      <c r="H712" s="465">
        <v>11.520099999999999</v>
      </c>
      <c r="I712" s="465">
        <v>0.39034000000000002</v>
      </c>
      <c r="J712" s="465">
        <v>1.43</v>
      </c>
      <c r="K712" s="465">
        <v>155.07764</v>
      </c>
      <c r="L712" s="464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spodné vedenie  1,7m biela lesk</v>
      </c>
      <c r="C713" s="185">
        <f t="shared" si="23"/>
        <v>10.851419999999999</v>
      </c>
      <c r="D713" s="409" t="s">
        <v>3218</v>
      </c>
      <c r="E713" s="409" t="s">
        <v>5145</v>
      </c>
      <c r="F713" s="409" t="s">
        <v>5146</v>
      </c>
      <c r="G713" s="409" t="s">
        <v>5147</v>
      </c>
      <c r="H713" s="465">
        <v>301.80291999999997</v>
      </c>
      <c r="I713" s="465">
        <v>10.851419999999999</v>
      </c>
      <c r="J713" s="465">
        <v>40.698</v>
      </c>
      <c r="K713" s="465">
        <v>4324.9779799999997</v>
      </c>
      <c r="L713" s="464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spodné vedenie  1,7m čierna  kartáčovaná</v>
      </c>
      <c r="C714" s="185">
        <f t="shared" si="23"/>
        <v>15.535489999999999</v>
      </c>
      <c r="D714" s="409" t="s">
        <v>2960</v>
      </c>
      <c r="E714" s="409" t="s">
        <v>5148</v>
      </c>
      <c r="F714" s="409" t="s">
        <v>5149</v>
      </c>
      <c r="G714" s="409" t="s">
        <v>5150</v>
      </c>
      <c r="H714" s="465">
        <v>432.07754999999997</v>
      </c>
      <c r="I714" s="465">
        <v>15.535489999999999</v>
      </c>
      <c r="J714" s="465">
        <v>55.386000000000003</v>
      </c>
      <c r="K714" s="465">
        <v>6191.8748900000001</v>
      </c>
      <c r="L714" s="464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spodné vedenie 1,7m oliva</v>
      </c>
      <c r="C715" s="185">
        <f t="shared" si="23"/>
        <v>10.39603</v>
      </c>
      <c r="D715" s="409" t="s">
        <v>3339</v>
      </c>
      <c r="E715" s="409" t="s">
        <v>5151</v>
      </c>
      <c r="F715" s="409" t="s">
        <v>5152</v>
      </c>
      <c r="G715" s="409" t="s">
        <v>5153</v>
      </c>
      <c r="H715" s="465">
        <v>289.49919</v>
      </c>
      <c r="I715" s="465">
        <v>10.39603</v>
      </c>
      <c r="J715" s="465">
        <v>39.086399999999998</v>
      </c>
      <c r="K715" s="465">
        <v>4148.6598199999999</v>
      </c>
      <c r="L715" s="464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spodné vedenie  1,7m oliva kartáčovaná</v>
      </c>
      <c r="C716" s="185">
        <f t="shared" si="23"/>
        <v>15.535489999999999</v>
      </c>
      <c r="D716" s="409" t="s">
        <v>2825</v>
      </c>
      <c r="E716" s="409" t="s">
        <v>5154</v>
      </c>
      <c r="F716" s="409" t="s">
        <v>5155</v>
      </c>
      <c r="G716" s="409" t="s">
        <v>5156</v>
      </c>
      <c r="H716" s="465">
        <v>432.07754999999997</v>
      </c>
      <c r="I716" s="465">
        <v>15.535489999999999</v>
      </c>
      <c r="J716" s="465">
        <v>55.386000000000003</v>
      </c>
      <c r="K716" s="465">
        <v>6191.8748900000001</v>
      </c>
      <c r="L716" s="464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spodné vedenie 1,7m oliva tmavá kartáčovaná</v>
      </c>
      <c r="C717" s="185">
        <f t="shared" si="23"/>
        <v>15.535489999999999</v>
      </c>
      <c r="D717" s="409" t="s">
        <v>2959</v>
      </c>
      <c r="E717" s="409" t="s">
        <v>5157</v>
      </c>
      <c r="F717" s="409" t="s">
        <v>5158</v>
      </c>
      <c r="G717" s="409" t="s">
        <v>5159</v>
      </c>
      <c r="H717" s="465">
        <v>432.07754999999997</v>
      </c>
      <c r="I717" s="465">
        <v>15.535489999999999</v>
      </c>
      <c r="J717" s="465">
        <v>55.386000000000003</v>
      </c>
      <c r="K717" s="465">
        <v>6191.8748900000001</v>
      </c>
      <c r="L717" s="464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spodné vedenie  1,7m strieborná</v>
      </c>
      <c r="C718" s="185">
        <f t="shared" si="23"/>
        <v>8.3272300000000001</v>
      </c>
      <c r="D718" s="409" t="s">
        <v>2738</v>
      </c>
      <c r="E718" s="409" t="s">
        <v>5160</v>
      </c>
      <c r="F718" s="409" t="s">
        <v>5161</v>
      </c>
      <c r="G718" s="409" t="s">
        <v>2378</v>
      </c>
      <c r="H718" s="465">
        <v>231.59934999999999</v>
      </c>
      <c r="I718" s="465">
        <v>8.3272300000000001</v>
      </c>
      <c r="J718" s="465">
        <v>31.293600000000001</v>
      </c>
      <c r="K718" s="465">
        <v>3318.9278399999998</v>
      </c>
      <c r="L718" s="464" t="s">
        <v>695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spodné vedenie 1,7m zlatá</v>
      </c>
      <c r="C719" s="185">
        <f t="shared" si="23"/>
        <v>10.409039999999999</v>
      </c>
      <c r="D719" s="409" t="s">
        <v>2737</v>
      </c>
      <c r="E719" s="409" t="s">
        <v>5162</v>
      </c>
      <c r="F719" s="409" t="s">
        <v>5163</v>
      </c>
      <c r="G719" s="409" t="s">
        <v>5164</v>
      </c>
      <c r="H719" s="465">
        <v>289.49919</v>
      </c>
      <c r="I719" s="465">
        <v>10.409039999999999</v>
      </c>
      <c r="J719" s="465">
        <v>39.086399999999998</v>
      </c>
      <c r="K719" s="465">
        <v>4148.6598199999999</v>
      </c>
      <c r="L719" s="464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spodné vedenie  2,35m biela lesk</v>
      </c>
      <c r="C720" s="185">
        <f t="shared" si="23"/>
        <v>14.91095</v>
      </c>
      <c r="D720" s="409" t="s">
        <v>3219</v>
      </c>
      <c r="E720" s="409" t="s">
        <v>5165</v>
      </c>
      <c r="F720" s="409" t="s">
        <v>5166</v>
      </c>
      <c r="G720" s="409" t="s">
        <v>5167</v>
      </c>
      <c r="H720" s="465">
        <v>414.70758000000001</v>
      </c>
      <c r="I720" s="465">
        <v>14.91095</v>
      </c>
      <c r="J720" s="465">
        <v>56.242800000000003</v>
      </c>
      <c r="K720" s="465">
        <v>5942.9550600000002</v>
      </c>
      <c r="L720" s="464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spodné vedenie  2,35m čierna  kartáčovaná</v>
      </c>
      <c r="C721" s="185">
        <f t="shared" si="23"/>
        <v>21.464729999999999</v>
      </c>
      <c r="D721" s="409" t="s">
        <v>2956</v>
      </c>
      <c r="E721" s="409" t="s">
        <v>5168</v>
      </c>
      <c r="F721" s="409" t="s">
        <v>5169</v>
      </c>
      <c r="G721" s="409" t="s">
        <v>5170</v>
      </c>
      <c r="H721" s="465">
        <v>597.09209999999996</v>
      </c>
      <c r="I721" s="465">
        <v>21.464729999999999</v>
      </c>
      <c r="J721" s="465">
        <v>76.367400000000004</v>
      </c>
      <c r="K721" s="465">
        <v>8556.6110499999995</v>
      </c>
      <c r="L721" s="464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spodné vedenie  2,35m oliva kartáčovaná</v>
      </c>
      <c r="C722" s="185">
        <f t="shared" si="23"/>
        <v>21.464729999999999</v>
      </c>
      <c r="D722" s="409" t="s">
        <v>2826</v>
      </c>
      <c r="E722" s="409" t="s">
        <v>5171</v>
      </c>
      <c r="F722" s="409" t="s">
        <v>5172</v>
      </c>
      <c r="G722" s="409" t="s">
        <v>5173</v>
      </c>
      <c r="H722" s="465">
        <v>597.09209999999996</v>
      </c>
      <c r="I722" s="465">
        <v>21.464729999999999</v>
      </c>
      <c r="J722" s="465">
        <v>76.367400000000004</v>
      </c>
      <c r="K722" s="465">
        <v>8556.6110499999995</v>
      </c>
      <c r="L722" s="464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spodné vedenie 2,35m oliva tmavá kartáčovaná</v>
      </c>
      <c r="C723" s="185">
        <f t="shared" si="23"/>
        <v>21.464729999999999</v>
      </c>
      <c r="D723" s="409" t="s">
        <v>2955</v>
      </c>
      <c r="E723" s="409" t="s">
        <v>5174</v>
      </c>
      <c r="F723" s="409" t="s">
        <v>5175</v>
      </c>
      <c r="G723" s="409" t="s">
        <v>5176</v>
      </c>
      <c r="H723" s="465">
        <v>597.09209999999996</v>
      </c>
      <c r="I723" s="465">
        <v>21.464729999999999</v>
      </c>
      <c r="J723" s="465">
        <v>76.367400000000004</v>
      </c>
      <c r="K723" s="465">
        <v>8556.6110499999995</v>
      </c>
      <c r="L723" s="464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spodné vedenie  2,35m strieborná</v>
      </c>
      <c r="C724" s="185">
        <f t="shared" si="23"/>
        <v>11.47597</v>
      </c>
      <c r="D724" s="409" t="s">
        <v>2741</v>
      </c>
      <c r="E724" s="409" t="s">
        <v>5177</v>
      </c>
      <c r="F724" s="409" t="s">
        <v>5178</v>
      </c>
      <c r="G724" s="409" t="s">
        <v>5179</v>
      </c>
      <c r="H724" s="465">
        <v>319.17286000000001</v>
      </c>
      <c r="I724" s="465">
        <v>11.47597</v>
      </c>
      <c r="J724" s="465">
        <v>43.278599999999997</v>
      </c>
      <c r="K724" s="465">
        <v>4573.8973900000001</v>
      </c>
      <c r="L724" s="464" t="s">
        <v>695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spodné vedenie  3m biela lesk</v>
      </c>
      <c r="C725" s="185">
        <f t="shared" si="23"/>
        <v>18.94445</v>
      </c>
      <c r="D725" s="409" t="s">
        <v>3195</v>
      </c>
      <c r="E725" s="409" t="s">
        <v>5180</v>
      </c>
      <c r="F725" s="409" t="s">
        <v>5181</v>
      </c>
      <c r="G725" s="409" t="s">
        <v>5182</v>
      </c>
      <c r="H725" s="465">
        <v>526.88854000000003</v>
      </c>
      <c r="I725" s="465">
        <v>18.94445</v>
      </c>
      <c r="J725" s="465">
        <v>71.808000000000007</v>
      </c>
      <c r="K725" s="465">
        <v>7550.5609299999996</v>
      </c>
      <c r="L725" s="464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spodné vedenie  3m biela mat</v>
      </c>
      <c r="C726" s="185">
        <f t="shared" si="23"/>
        <v>18.94445</v>
      </c>
      <c r="D726" s="409" t="s">
        <v>3217</v>
      </c>
      <c r="E726" s="409" t="s">
        <v>5183</v>
      </c>
      <c r="F726" s="409" t="s">
        <v>5184</v>
      </c>
      <c r="G726" s="409" t="s">
        <v>5185</v>
      </c>
      <c r="H726" s="465">
        <v>526.88854000000003</v>
      </c>
      <c r="I726" s="465">
        <v>18.94445</v>
      </c>
      <c r="J726" s="465">
        <v>71.808000000000007</v>
      </c>
      <c r="K726" s="465">
        <v>7550.5609299999996</v>
      </c>
      <c r="L726" s="464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spodné vedenie  3m čierna  kartáčovaná</v>
      </c>
      <c r="C727" s="185">
        <f t="shared" si="23"/>
        <v>27.401800000000001</v>
      </c>
      <c r="D727" s="409" t="s">
        <v>2984</v>
      </c>
      <c r="E727" s="409" t="s">
        <v>5186</v>
      </c>
      <c r="F727" s="409" t="s">
        <v>5187</v>
      </c>
      <c r="G727" s="409" t="s">
        <v>5188</v>
      </c>
      <c r="H727" s="465">
        <v>762.10661000000005</v>
      </c>
      <c r="I727" s="465">
        <v>27.401800000000001</v>
      </c>
      <c r="J727" s="465">
        <v>97.675200000000004</v>
      </c>
      <c r="K727" s="465">
        <v>10921.346809999999</v>
      </c>
      <c r="L727" s="464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spodné vedenie  3m oliva kartáčovaná</v>
      </c>
      <c r="C728" s="185">
        <f t="shared" si="23"/>
        <v>27.401800000000001</v>
      </c>
      <c r="D728" s="409" t="s">
        <v>2827</v>
      </c>
      <c r="E728" s="409" t="s">
        <v>5189</v>
      </c>
      <c r="F728" s="409" t="s">
        <v>5190</v>
      </c>
      <c r="G728" s="409" t="s">
        <v>5191</v>
      </c>
      <c r="H728" s="465">
        <v>762.10661000000005</v>
      </c>
      <c r="I728" s="465">
        <v>27.401800000000001</v>
      </c>
      <c r="J728" s="465">
        <v>97.675200000000004</v>
      </c>
      <c r="K728" s="465">
        <v>10921.346809999999</v>
      </c>
      <c r="L728" s="464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spodné vedenie 3m oliva tmavá kartáčovaná</v>
      </c>
      <c r="C729" s="185">
        <f t="shared" si="23"/>
        <v>27.401800000000001</v>
      </c>
      <c r="D729" s="409" t="s">
        <v>2961</v>
      </c>
      <c r="E729" s="409" t="s">
        <v>5192</v>
      </c>
      <c r="F729" s="409" t="s">
        <v>5193</v>
      </c>
      <c r="G729" s="409" t="s">
        <v>5194</v>
      </c>
      <c r="H729" s="465">
        <v>762.10661000000005</v>
      </c>
      <c r="I729" s="465">
        <v>27.401800000000001</v>
      </c>
      <c r="J729" s="465">
        <v>97.675200000000004</v>
      </c>
      <c r="K729" s="465">
        <v>10921.346809999999</v>
      </c>
      <c r="L729" s="464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spodné vedenie  3m strieborná</v>
      </c>
      <c r="C730" s="185">
        <f t="shared" si="23"/>
        <v>14.46857</v>
      </c>
      <c r="D730" s="409" t="s">
        <v>2744</v>
      </c>
      <c r="E730" s="409" t="s">
        <v>5195</v>
      </c>
      <c r="F730" s="409" t="s">
        <v>5196</v>
      </c>
      <c r="G730" s="409" t="s">
        <v>5197</v>
      </c>
      <c r="H730" s="465">
        <v>405.29887000000002</v>
      </c>
      <c r="I730" s="465">
        <v>14.46857</v>
      </c>
      <c r="J730" s="465">
        <v>55.212600000000002</v>
      </c>
      <c r="K730" s="465">
        <v>5808.12374</v>
      </c>
      <c r="L730" s="464" t="s">
        <v>695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spodné vedenie  4,05m biela lesk</v>
      </c>
      <c r="C731" s="185">
        <f t="shared" si="23"/>
        <v>25.658280000000001</v>
      </c>
      <c r="D731" s="409" t="s">
        <v>3220</v>
      </c>
      <c r="E731" s="409" t="s">
        <v>5198</v>
      </c>
      <c r="F731" s="409" t="s">
        <v>5199</v>
      </c>
      <c r="G731" s="409" t="s">
        <v>5200</v>
      </c>
      <c r="H731" s="465">
        <v>713.61551999999995</v>
      </c>
      <c r="I731" s="465">
        <v>25.658280000000001</v>
      </c>
      <c r="J731" s="465">
        <v>96.930599999999998</v>
      </c>
      <c r="K731" s="465">
        <v>10226.44657</v>
      </c>
      <c r="L731" s="464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spodné vedenie  4,05m čierna  kartáčovaná</v>
      </c>
      <c r="C732" s="185">
        <f t="shared" si="23"/>
        <v>37.00414</v>
      </c>
      <c r="D732" s="409" t="s">
        <v>2958</v>
      </c>
      <c r="E732" s="409" t="s">
        <v>5201</v>
      </c>
      <c r="F732" s="409" t="s">
        <v>5202</v>
      </c>
      <c r="G732" s="409" t="s">
        <v>5203</v>
      </c>
      <c r="H732" s="465">
        <v>1029.1696199999999</v>
      </c>
      <c r="I732" s="465">
        <v>37.00414</v>
      </c>
      <c r="J732" s="465">
        <v>131.8554</v>
      </c>
      <c r="K732" s="465">
        <v>14748.48552</v>
      </c>
      <c r="L732" s="464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spodné vedenie  4,05m oliva kartáčovaná</v>
      </c>
      <c r="C733" s="185">
        <f t="shared" si="23"/>
        <v>37.00414</v>
      </c>
      <c r="D733" s="409" t="s">
        <v>2828</v>
      </c>
      <c r="E733" s="409" t="s">
        <v>5204</v>
      </c>
      <c r="F733" s="409" t="s">
        <v>5205</v>
      </c>
      <c r="G733" s="409" t="s">
        <v>5206</v>
      </c>
      <c r="H733" s="465">
        <v>1029.1696199999999</v>
      </c>
      <c r="I733" s="465">
        <v>37.00414</v>
      </c>
      <c r="J733" s="465">
        <v>131.8554</v>
      </c>
      <c r="K733" s="465">
        <v>14748.48552</v>
      </c>
      <c r="L733" s="464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spodné vedenie 4,05m oliva tmavá kartáčovaná</v>
      </c>
      <c r="C734" s="185">
        <f t="shared" si="23"/>
        <v>37.00414</v>
      </c>
      <c r="D734" s="409" t="s">
        <v>2957</v>
      </c>
      <c r="E734" s="409" t="s">
        <v>5207</v>
      </c>
      <c r="F734" s="409" t="s">
        <v>5208</v>
      </c>
      <c r="G734" s="409" t="s">
        <v>5209</v>
      </c>
      <c r="H734" s="465">
        <v>1029.1696199999999</v>
      </c>
      <c r="I734" s="465">
        <v>37.00414</v>
      </c>
      <c r="J734" s="465">
        <v>131.8554</v>
      </c>
      <c r="K734" s="465">
        <v>14748.48552</v>
      </c>
      <c r="L734" s="464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spodné vedenie  4,05m strieborná</v>
      </c>
      <c r="C735" s="185">
        <f t="shared" si="23"/>
        <v>19.751149999999999</v>
      </c>
      <c r="D735" s="409" t="s">
        <v>2747</v>
      </c>
      <c r="E735" s="409" t="s">
        <v>5210</v>
      </c>
      <c r="F735" s="409" t="s">
        <v>5211</v>
      </c>
      <c r="G735" s="409" t="s">
        <v>5212</v>
      </c>
      <c r="H735" s="465">
        <v>549.32471999999996</v>
      </c>
      <c r="I735" s="465">
        <v>19.751149999999999</v>
      </c>
      <c r="J735" s="465">
        <v>74.572199999999995</v>
      </c>
      <c r="K735" s="465">
        <v>7872.0820199999998</v>
      </c>
      <c r="L735" s="464" t="s">
        <v>695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Elegant II spodné vedenie 6m čierna kartáčovaná</v>
      </c>
      <c r="C736" s="185">
        <f t="shared" si="23"/>
        <v>54.803600000000003</v>
      </c>
      <c r="D736" s="409" t="s">
        <v>3130</v>
      </c>
      <c r="E736" s="409" t="s">
        <v>5213</v>
      </c>
      <c r="F736" s="409" t="s">
        <v>5214</v>
      </c>
      <c r="G736" s="409" t="s">
        <v>5215</v>
      </c>
      <c r="H736" s="465">
        <v>1524.21326</v>
      </c>
      <c r="I736" s="465">
        <v>54.803600000000003</v>
      </c>
      <c r="J736" s="465">
        <v>195.35040000000001</v>
      </c>
      <c r="K736" s="465">
        <v>21842.694049999998</v>
      </c>
      <c r="L736" s="464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Elegant II spodné vedenie 6m oliva kartáčovaná</v>
      </c>
      <c r="C737" s="185">
        <f t="shared" si="23"/>
        <v>54.803600000000003</v>
      </c>
      <c r="D737" s="409" t="s">
        <v>3128</v>
      </c>
      <c r="E737" s="409" t="s">
        <v>5216</v>
      </c>
      <c r="F737" s="409" t="s">
        <v>5217</v>
      </c>
      <c r="G737" s="409" t="s">
        <v>5218</v>
      </c>
      <c r="H737" s="465">
        <v>1524.21326</v>
      </c>
      <c r="I737" s="465">
        <v>54.803600000000003</v>
      </c>
      <c r="J737" s="465">
        <v>195.35040000000001</v>
      </c>
      <c r="K737" s="465">
        <v>21842.694049999998</v>
      </c>
      <c r="L737" s="464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Elegant II spodné vedenie 6m oliva tmavá kartáčovaná</v>
      </c>
      <c r="C738" s="185">
        <f t="shared" si="23"/>
        <v>54.803600000000003</v>
      </c>
      <c r="D738" s="409" t="s">
        <v>3129</v>
      </c>
      <c r="E738" s="409" t="s">
        <v>5219</v>
      </c>
      <c r="F738" s="409" t="s">
        <v>5220</v>
      </c>
      <c r="G738" s="409" t="s">
        <v>5221</v>
      </c>
      <c r="H738" s="465">
        <v>1524.21326</v>
      </c>
      <c r="I738" s="465">
        <v>54.803600000000003</v>
      </c>
      <c r="J738" s="465">
        <v>195.35040000000001</v>
      </c>
      <c r="K738" s="465">
        <v>21842.694049999998</v>
      </c>
      <c r="L738" s="464" t="s">
        <v>539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spodné vedenie 6m strieborná</v>
      </c>
      <c r="C739" s="185">
        <f t="shared" si="23"/>
        <v>29.171330000000001</v>
      </c>
      <c r="D739" s="409" t="s">
        <v>3427</v>
      </c>
      <c r="E739" s="409" t="s">
        <v>5222</v>
      </c>
      <c r="F739" s="409" t="s">
        <v>5223</v>
      </c>
      <c r="G739" s="409" t="s">
        <v>5224</v>
      </c>
      <c r="H739" s="465">
        <v>811.32147999999995</v>
      </c>
      <c r="I739" s="465">
        <v>29.171330000000001</v>
      </c>
      <c r="J739" s="465">
        <v>110.4456</v>
      </c>
      <c r="K739" s="465">
        <v>11626.61908</v>
      </c>
      <c r="L739" s="464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9" t="e">
        <v>#N/A</v>
      </c>
      <c r="E740" s="409" t="e">
        <v>#N/A</v>
      </c>
      <c r="F740" s="409" t="e">
        <v>#N/A</v>
      </c>
      <c r="G740" s="409" t="e">
        <v>#N/A</v>
      </c>
      <c r="H740" s="465" t="e">
        <v>#N/A</v>
      </c>
      <c r="I740" s="465" t="e">
        <v>#N/A</v>
      </c>
      <c r="J740" s="465" t="e">
        <v>#N/A</v>
      </c>
      <c r="K740" s="465" t="e">
        <v>#N/A</v>
      </c>
      <c r="L740" s="464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Fala úchytová lišta 10mm 2,70m oliva</v>
      </c>
      <c r="C741" s="185">
        <f t="shared" si="23"/>
        <v>14.15629</v>
      </c>
      <c r="D741" s="409" t="s">
        <v>3070</v>
      </c>
      <c r="E741" s="409" t="s">
        <v>5225</v>
      </c>
      <c r="F741" s="409" t="s">
        <v>1168</v>
      </c>
      <c r="G741" s="409" t="s">
        <v>5226</v>
      </c>
      <c r="H741" s="465">
        <v>389.47012999999998</v>
      </c>
      <c r="I741" s="465">
        <v>14.15629</v>
      </c>
      <c r="J741" s="465">
        <v>52.309190000000001</v>
      </c>
      <c r="K741" s="465">
        <v>5756.3913000000002</v>
      </c>
      <c r="L741" s="464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Fala úch.lišta 10mm 2,70m strieborná</v>
      </c>
      <c r="C742" s="185">
        <f t="shared" si="23"/>
        <v>11.944369999999999</v>
      </c>
      <c r="D742" s="409" t="s">
        <v>3008</v>
      </c>
      <c r="E742" s="409" t="s">
        <v>5227</v>
      </c>
      <c r="F742" s="409" t="s">
        <v>1253</v>
      </c>
      <c r="G742" s="409" t="s">
        <v>5228</v>
      </c>
      <c r="H742" s="465">
        <v>328.61543</v>
      </c>
      <c r="I742" s="465">
        <v>11.944369999999999</v>
      </c>
      <c r="J742" s="465">
        <v>45.41854</v>
      </c>
      <c r="K742" s="465">
        <v>4856.9553400000004</v>
      </c>
      <c r="L742" s="464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úchytová lišta 2,7m oliva</v>
      </c>
      <c r="C743" s="185">
        <f t="shared" si="23"/>
        <v>16.13401</v>
      </c>
      <c r="D743" s="409" t="s">
        <v>2874</v>
      </c>
      <c r="E743" s="409" t="s">
        <v>5229</v>
      </c>
      <c r="F743" s="409" t="s">
        <v>2874</v>
      </c>
      <c r="G743" s="409" t="s">
        <v>5230</v>
      </c>
      <c r="H743" s="465">
        <v>448.72375</v>
      </c>
      <c r="I743" s="465">
        <v>16.13401</v>
      </c>
      <c r="J743" s="465">
        <v>55.480780000000003</v>
      </c>
      <c r="K743" s="465">
        <v>6430.4227000000001</v>
      </c>
      <c r="L743" s="464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úchytová lišta 2,7m strieborná</v>
      </c>
      <c r="C744" s="185">
        <f t="shared" si="23"/>
        <v>12.594939999999999</v>
      </c>
      <c r="D744" s="409" t="s">
        <v>2904</v>
      </c>
      <c r="E744" s="409" t="s">
        <v>5231</v>
      </c>
      <c r="F744" s="409" t="s">
        <v>5232</v>
      </c>
      <c r="G744" s="409" t="s">
        <v>5233</v>
      </c>
      <c r="H744" s="465">
        <v>350.29401000000001</v>
      </c>
      <c r="I744" s="465">
        <v>12.594939999999999</v>
      </c>
      <c r="J744" s="465">
        <v>46.195799999999998</v>
      </c>
      <c r="K744" s="465">
        <v>5019.8782199999996</v>
      </c>
      <c r="L744" s="464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9" t="e">
        <v>#N/A</v>
      </c>
      <c r="E745" s="409" t="e">
        <v>#N/A</v>
      </c>
      <c r="F745" s="409" t="e">
        <v>#N/A</v>
      </c>
      <c r="G745" s="409" t="e">
        <v>#N/A</v>
      </c>
      <c r="H745" s="465" t="e">
        <v>#N/A</v>
      </c>
      <c r="I745" s="465" t="e">
        <v>#N/A</v>
      </c>
      <c r="J745" s="465" t="e">
        <v>#N/A</v>
      </c>
      <c r="K745" s="465" t="e">
        <v>#N/A</v>
      </c>
      <c r="L745" s="464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9" t="e">
        <v>#N/A</v>
      </c>
      <c r="E746" s="409" t="e">
        <v>#N/A</v>
      </c>
      <c r="F746" s="409" t="e">
        <v>#N/A</v>
      </c>
      <c r="G746" s="409" t="e">
        <v>#N/A</v>
      </c>
      <c r="H746" s="465" t="e">
        <v>#N/A</v>
      </c>
      <c r="I746" s="465" t="e">
        <v>#N/A</v>
      </c>
      <c r="J746" s="465" t="e">
        <v>#N/A</v>
      </c>
      <c r="K746" s="465" t="e">
        <v>#N/A</v>
      </c>
      <c r="L746" s="464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horný vozík 18mm 2ks</v>
      </c>
      <c r="C747" s="185">
        <f t="shared" si="23"/>
        <v>3.9346299999999998</v>
      </c>
      <c r="D747" s="409" t="s">
        <v>3146</v>
      </c>
      <c r="E747" s="409" t="s">
        <v>5234</v>
      </c>
      <c r="F747" s="409" t="s">
        <v>5235</v>
      </c>
      <c r="G747" s="409" t="s">
        <v>5236</v>
      </c>
      <c r="H747" s="465">
        <v>115.9689</v>
      </c>
      <c r="I747" s="465">
        <v>3.9346299999999998</v>
      </c>
      <c r="J747" s="465">
        <v>13.907170000000001</v>
      </c>
      <c r="K747" s="465">
        <v>1610.50298</v>
      </c>
      <c r="L747" s="464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Focus II 16mm úchytová lišta 2,7m zlatá</v>
      </c>
      <c r="C748" s="185">
        <f t="shared" si="23"/>
        <v>10.61722</v>
      </c>
      <c r="D748" s="409" t="s">
        <v>3257</v>
      </c>
      <c r="E748" s="409" t="s">
        <v>5237</v>
      </c>
      <c r="F748" s="409" t="s">
        <v>1167</v>
      </c>
      <c r="G748" s="409" t="s">
        <v>5238</v>
      </c>
      <c r="H748" s="465">
        <v>295.28917999999999</v>
      </c>
      <c r="I748" s="465">
        <v>10.61722</v>
      </c>
      <c r="J748" s="465">
        <v>36.509929999999997</v>
      </c>
      <c r="K748" s="465">
        <v>4231.6330699999999</v>
      </c>
      <c r="L748" s="464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úchytová lišta 2,7m biela lesk</v>
      </c>
      <c r="C749" s="185">
        <f t="shared" si="23"/>
        <v>21.598759999999999</v>
      </c>
      <c r="D749" s="409" t="s">
        <v>3202</v>
      </c>
      <c r="E749" s="409" t="s">
        <v>5239</v>
      </c>
      <c r="F749" s="409" t="s">
        <v>5240</v>
      </c>
      <c r="G749" s="409" t="s">
        <v>5241</v>
      </c>
      <c r="H749" s="465">
        <v>600.71082000000001</v>
      </c>
      <c r="I749" s="465">
        <v>21.598759999999999</v>
      </c>
      <c r="J749" s="465">
        <v>80.416799999999995</v>
      </c>
      <c r="K749" s="465">
        <v>8608.4691000000003</v>
      </c>
      <c r="L749" s="464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úchytová lišta 2,7m čierna  kartáčovaná</v>
      </c>
      <c r="C750" s="185">
        <f t="shared" si="23"/>
        <v>25.169070000000001</v>
      </c>
      <c r="D750" s="409" t="s">
        <v>2954</v>
      </c>
      <c r="E750" s="409" t="s">
        <v>5242</v>
      </c>
      <c r="F750" s="409" t="s">
        <v>5243</v>
      </c>
      <c r="G750" s="409" t="s">
        <v>5244</v>
      </c>
      <c r="H750" s="465">
        <v>699.86431000000005</v>
      </c>
      <c r="I750" s="465">
        <v>25.169070000000001</v>
      </c>
      <c r="J750" s="465">
        <v>90.198599999999999</v>
      </c>
      <c r="K750" s="465">
        <v>10029.385200000001</v>
      </c>
      <c r="L750" s="464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úchytová lišta 2,7m oliva kartáčovaná</v>
      </c>
      <c r="C751" s="185">
        <f t="shared" si="23"/>
        <v>25.16385</v>
      </c>
      <c r="D751" s="409" t="s">
        <v>2782</v>
      </c>
      <c r="E751" s="409" t="s">
        <v>5245</v>
      </c>
      <c r="F751" s="409" t="s">
        <v>2782</v>
      </c>
      <c r="G751" s="409" t="s">
        <v>5246</v>
      </c>
      <c r="H751" s="465">
        <v>699.86431000000005</v>
      </c>
      <c r="I751" s="465">
        <v>25.16385</v>
      </c>
      <c r="J751" s="465">
        <v>90.198599999999999</v>
      </c>
      <c r="K751" s="465">
        <v>10029.385200000001</v>
      </c>
      <c r="L751" s="464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horné vedenie  1,7m biela lesk</v>
      </c>
      <c r="C752" s="185">
        <f t="shared" si="23"/>
        <v>18.39798</v>
      </c>
      <c r="D752" s="409" t="s">
        <v>3222</v>
      </c>
      <c r="E752" s="409" t="s">
        <v>5247</v>
      </c>
      <c r="F752" s="409" t="s">
        <v>5248</v>
      </c>
      <c r="G752" s="409" t="s">
        <v>5249</v>
      </c>
      <c r="H752" s="465">
        <v>511.68982999999997</v>
      </c>
      <c r="I752" s="465">
        <v>18.39798</v>
      </c>
      <c r="J752" s="465">
        <v>74.653800000000004</v>
      </c>
      <c r="K752" s="465">
        <v>7332.7563300000002</v>
      </c>
      <c r="L752" s="464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Gemini horné vedenie 1,7m čierna kar</v>
      </c>
      <c r="C753" s="185">
        <f t="shared" si="23"/>
        <v>24.331130000000002</v>
      </c>
      <c r="D753" s="409" t="s">
        <v>2971</v>
      </c>
      <c r="E753" s="409" t="s">
        <v>5250</v>
      </c>
      <c r="F753" s="409" t="s">
        <v>1166</v>
      </c>
      <c r="G753" s="409" t="s">
        <v>5251</v>
      </c>
      <c r="H753" s="465">
        <v>676.70438000000001</v>
      </c>
      <c r="I753" s="465">
        <v>24.331130000000002</v>
      </c>
      <c r="J753" s="465">
        <v>84.170400000000001</v>
      </c>
      <c r="K753" s="465">
        <v>9697.4924900000005</v>
      </c>
      <c r="L753" s="464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Gemini HORNÉ VEDENIE 1,70M OLIVA</v>
      </c>
      <c r="C754" s="185">
        <f t="shared" si="23"/>
        <v>24.331130000000002</v>
      </c>
      <c r="D754" s="409" t="s">
        <v>2820</v>
      </c>
      <c r="E754" s="409" t="s">
        <v>5252</v>
      </c>
      <c r="F754" s="409" t="s">
        <v>5253</v>
      </c>
      <c r="G754" s="409" t="s">
        <v>5254</v>
      </c>
      <c r="H754" s="465">
        <v>676.70438000000001</v>
      </c>
      <c r="I754" s="465">
        <v>24.331130000000002</v>
      </c>
      <c r="J754" s="465">
        <v>84.170400000000001</v>
      </c>
      <c r="K754" s="465">
        <v>9697.4924900000005</v>
      </c>
      <c r="L754" s="464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horné vedenie 1,7m oliva tmavá kartáčovaná</v>
      </c>
      <c r="C755" s="185">
        <f t="shared" si="23"/>
        <v>24.331130000000002</v>
      </c>
      <c r="D755" s="409" t="s">
        <v>2970</v>
      </c>
      <c r="E755" s="409" t="s">
        <v>5255</v>
      </c>
      <c r="F755" s="409" t="s">
        <v>5256</v>
      </c>
      <c r="G755" s="409" t="s">
        <v>5257</v>
      </c>
      <c r="H755" s="465">
        <v>676.70438000000001</v>
      </c>
      <c r="I755" s="465">
        <v>24.331130000000002</v>
      </c>
      <c r="J755" s="465">
        <v>84.170400000000001</v>
      </c>
      <c r="K755" s="465">
        <v>9697.4924900000005</v>
      </c>
      <c r="L755" s="464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horné vedenie  2,35m biela lesk</v>
      </c>
      <c r="C756" s="185">
        <f t="shared" si="23"/>
        <v>25.450099999999999</v>
      </c>
      <c r="D756" s="409" t="s">
        <v>3205</v>
      </c>
      <c r="E756" s="409" t="s">
        <v>5258</v>
      </c>
      <c r="F756" s="409" t="s">
        <v>5259</v>
      </c>
      <c r="G756" s="409" t="s">
        <v>5260</v>
      </c>
      <c r="H756" s="465">
        <v>707.82552999999996</v>
      </c>
      <c r="I756" s="465">
        <v>25.450099999999999</v>
      </c>
      <c r="J756" s="465">
        <v>103.20359999999999</v>
      </c>
      <c r="K756" s="465">
        <v>10143.473319999999</v>
      </c>
      <c r="L756" s="464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Gemini horné vedenie 2,35m čierna ka</v>
      </c>
      <c r="C757" s="185">
        <f t="shared" si="23"/>
        <v>33.621200000000002</v>
      </c>
      <c r="D757" s="409" t="s">
        <v>2973</v>
      </c>
      <c r="E757" s="409" t="s">
        <v>5261</v>
      </c>
      <c r="F757" s="409" t="s">
        <v>1250</v>
      </c>
      <c r="G757" s="409" t="s">
        <v>5262</v>
      </c>
      <c r="H757" s="465">
        <v>935.08237999999994</v>
      </c>
      <c r="I757" s="465">
        <v>33.621200000000002</v>
      </c>
      <c r="J757" s="465">
        <v>116.5962</v>
      </c>
      <c r="K757" s="465">
        <v>13400.17109</v>
      </c>
      <c r="L757" s="464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Gemini horné vedenie 2,35M OLIVA</v>
      </c>
      <c r="C758" s="185">
        <f t="shared" si="23"/>
        <v>33.621200000000002</v>
      </c>
      <c r="D758" s="409" t="s">
        <v>2822</v>
      </c>
      <c r="E758" s="409" t="s">
        <v>5263</v>
      </c>
      <c r="F758" s="409" t="s">
        <v>5264</v>
      </c>
      <c r="G758" s="409" t="s">
        <v>5265</v>
      </c>
      <c r="H758" s="465">
        <v>935.08237999999994</v>
      </c>
      <c r="I758" s="465">
        <v>33.621200000000002</v>
      </c>
      <c r="J758" s="465">
        <v>116.5962</v>
      </c>
      <c r="K758" s="465">
        <v>13400.17109</v>
      </c>
      <c r="L758" s="464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horné vedenie 2,35m oliva tmavá kartáčovaná</v>
      </c>
      <c r="C759" s="185">
        <f t="shared" si="23"/>
        <v>33.621200000000002</v>
      </c>
      <c r="D759" s="409" t="s">
        <v>2972</v>
      </c>
      <c r="E759" s="409" t="s">
        <v>5266</v>
      </c>
      <c r="F759" s="409" t="s">
        <v>5267</v>
      </c>
      <c r="G759" s="409" t="s">
        <v>5268</v>
      </c>
      <c r="H759" s="465">
        <v>935.08237999999994</v>
      </c>
      <c r="I759" s="465">
        <v>33.621200000000002</v>
      </c>
      <c r="J759" s="465">
        <v>116.5962</v>
      </c>
      <c r="K759" s="465">
        <v>13400.17109</v>
      </c>
      <c r="L759" s="464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horné vedenie 3m biela lesk</v>
      </c>
      <c r="C760" s="185">
        <f t="shared" si="23"/>
        <v>32.476199999999999</v>
      </c>
      <c r="D760" s="409" t="s">
        <v>3193</v>
      </c>
      <c r="E760" s="409" t="s">
        <v>5269</v>
      </c>
      <c r="F760" s="409" t="s">
        <v>5270</v>
      </c>
      <c r="G760" s="409" t="s">
        <v>5271</v>
      </c>
      <c r="H760" s="465">
        <v>903.23748000000001</v>
      </c>
      <c r="I760" s="465">
        <v>32.476199999999999</v>
      </c>
      <c r="J760" s="465">
        <v>131.79419999999999</v>
      </c>
      <c r="K760" s="465">
        <v>12943.81868</v>
      </c>
      <c r="L760" s="464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Gemini horné vedenie 3m čierna kartá</v>
      </c>
      <c r="C761" s="185">
        <f t="shared" si="23"/>
        <v>42.911270000000002</v>
      </c>
      <c r="D761" s="409" t="s">
        <v>2975</v>
      </c>
      <c r="E761" s="409" t="s">
        <v>5272</v>
      </c>
      <c r="F761" s="409" t="s">
        <v>1249</v>
      </c>
      <c r="G761" s="409" t="s">
        <v>5273</v>
      </c>
      <c r="H761" s="465">
        <v>1193.4604200000001</v>
      </c>
      <c r="I761" s="465">
        <v>42.911270000000002</v>
      </c>
      <c r="J761" s="465">
        <v>148.83840000000001</v>
      </c>
      <c r="K761" s="465">
        <v>17102.8501</v>
      </c>
      <c r="L761" s="464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Gemini horné vedenie 3M OLIVA KA</v>
      </c>
      <c r="C762" s="185">
        <f t="shared" si="23"/>
        <v>42.911270000000002</v>
      </c>
      <c r="D762" s="409" t="s">
        <v>2823</v>
      </c>
      <c r="E762" s="409" t="s">
        <v>5274</v>
      </c>
      <c r="F762" s="409" t="s">
        <v>5275</v>
      </c>
      <c r="G762" s="409" t="s">
        <v>5276</v>
      </c>
      <c r="H762" s="465">
        <v>1193.4604200000001</v>
      </c>
      <c r="I762" s="465">
        <v>42.911270000000002</v>
      </c>
      <c r="J762" s="465">
        <v>148.83840000000001</v>
      </c>
      <c r="K762" s="465">
        <v>17102.8501</v>
      </c>
      <c r="L762" s="464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horné vedenie 3m oliva tmavá kartáčovaná</v>
      </c>
      <c r="C763" s="185">
        <f t="shared" si="23"/>
        <v>42.911270000000002</v>
      </c>
      <c r="D763" s="409" t="s">
        <v>2974</v>
      </c>
      <c r="E763" s="409" t="s">
        <v>5277</v>
      </c>
      <c r="F763" s="409" t="s">
        <v>5278</v>
      </c>
      <c r="G763" s="409" t="s">
        <v>5279</v>
      </c>
      <c r="H763" s="465">
        <v>1193.4604200000001</v>
      </c>
      <c r="I763" s="465">
        <v>42.911270000000002</v>
      </c>
      <c r="J763" s="465">
        <v>148.83840000000001</v>
      </c>
      <c r="K763" s="465">
        <v>17102.8501</v>
      </c>
      <c r="L763" s="464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horné vedenie  4,05m biela lesk</v>
      </c>
      <c r="C764" s="185">
        <f t="shared" si="23"/>
        <v>43.848080000000003</v>
      </c>
      <c r="D764" s="409" t="s">
        <v>3221</v>
      </c>
      <c r="E764" s="409" t="s">
        <v>5280</v>
      </c>
      <c r="F764" s="409" t="s">
        <v>5281</v>
      </c>
      <c r="G764" s="409" t="s">
        <v>5282</v>
      </c>
      <c r="H764" s="465">
        <v>1219.5153600000001</v>
      </c>
      <c r="I764" s="465">
        <v>43.848080000000003</v>
      </c>
      <c r="J764" s="465">
        <v>177.9186</v>
      </c>
      <c r="K764" s="465">
        <v>17476.229630000002</v>
      </c>
      <c r="L764" s="464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Gemini horné vedenie 4,05m čierna ka</v>
      </c>
      <c r="C765" s="185">
        <f t="shared" si="23"/>
        <v>57.926310000000001</v>
      </c>
      <c r="D765" s="409" t="s">
        <v>2977</v>
      </c>
      <c r="E765" s="409" t="s">
        <v>5283</v>
      </c>
      <c r="F765" s="409" t="s">
        <v>1248</v>
      </c>
      <c r="G765" s="409" t="s">
        <v>5284</v>
      </c>
      <c r="H765" s="465">
        <v>1611.0630100000001</v>
      </c>
      <c r="I765" s="465">
        <v>57.926310000000001</v>
      </c>
      <c r="J765" s="465">
        <v>200.9196</v>
      </c>
      <c r="K765" s="465">
        <v>23087.291969999998</v>
      </c>
      <c r="L765" s="464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Gemini horné vedenie 4,05M oliva kartáčovaná</v>
      </c>
      <c r="C766" s="185">
        <f t="shared" si="23"/>
        <v>57.926310000000001</v>
      </c>
      <c r="D766" s="409" t="s">
        <v>2824</v>
      </c>
      <c r="E766" s="409" t="s">
        <v>5285</v>
      </c>
      <c r="F766" s="409" t="s">
        <v>5286</v>
      </c>
      <c r="G766" s="409" t="s">
        <v>5287</v>
      </c>
      <c r="H766" s="465">
        <v>1611.0630100000001</v>
      </c>
      <c r="I766" s="465">
        <v>57.926310000000001</v>
      </c>
      <c r="J766" s="465">
        <v>200.9196</v>
      </c>
      <c r="K766" s="465">
        <v>23087.291969999998</v>
      </c>
      <c r="L766" s="464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horné vedenie 4,05m oliva tmavá kartáčovaná</v>
      </c>
      <c r="C767" s="185">
        <f t="shared" si="23"/>
        <v>57.926310000000001</v>
      </c>
      <c r="D767" s="409" t="s">
        <v>2976</v>
      </c>
      <c r="E767" s="409" t="s">
        <v>5288</v>
      </c>
      <c r="F767" s="409" t="s">
        <v>5289</v>
      </c>
      <c r="G767" s="409" t="s">
        <v>5290</v>
      </c>
      <c r="H767" s="465">
        <v>1611.0630100000001</v>
      </c>
      <c r="I767" s="465">
        <v>57.926310000000001</v>
      </c>
      <c r="J767" s="465">
        <v>200.9196</v>
      </c>
      <c r="K767" s="465">
        <v>23087.291969999998</v>
      </c>
      <c r="L767" s="464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horné vedenie 6m biela lesk</v>
      </c>
      <c r="C768" s="185">
        <f t="shared" si="23"/>
        <v>64.95241</v>
      </c>
      <c r="D768" s="409" t="s">
        <v>3324</v>
      </c>
      <c r="E768" s="409" t="s">
        <v>5291</v>
      </c>
      <c r="F768" s="409" t="s">
        <v>5292</v>
      </c>
      <c r="G768" s="409" t="s">
        <v>5293</v>
      </c>
      <c r="H768" s="465">
        <v>1806.47497</v>
      </c>
      <c r="I768" s="465">
        <v>64.95241</v>
      </c>
      <c r="J768" s="465">
        <v>263.56799999999998</v>
      </c>
      <c r="K768" s="465">
        <v>25887.637350000001</v>
      </c>
      <c r="L768" s="464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Gemini horné vedenie 6m čierna kartá</v>
      </c>
      <c r="C769" s="185">
        <f t="shared" si="23"/>
        <v>85.796509999999998</v>
      </c>
      <c r="D769" s="409" t="s">
        <v>3133</v>
      </c>
      <c r="E769" s="409" t="s">
        <v>5294</v>
      </c>
      <c r="F769" s="409" t="s">
        <v>1165</v>
      </c>
      <c r="G769" s="409" t="s">
        <v>5295</v>
      </c>
      <c r="H769" s="465">
        <v>2386.1970999999999</v>
      </c>
      <c r="I769" s="465">
        <v>85.796509999999998</v>
      </c>
      <c r="J769" s="465">
        <v>297.64620000000002</v>
      </c>
      <c r="K769" s="465">
        <v>34195.328569999998</v>
      </c>
      <c r="L769" s="464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Gemini horné vedenie 6m oliva kartáč</v>
      </c>
      <c r="C770" s="185">
        <f t="shared" si="23"/>
        <v>85.796509999999998</v>
      </c>
      <c r="D770" s="409" t="s">
        <v>3131</v>
      </c>
      <c r="E770" s="409" t="s">
        <v>5296</v>
      </c>
      <c r="F770" s="409" t="s">
        <v>1164</v>
      </c>
      <c r="G770" s="409" t="s">
        <v>5297</v>
      </c>
      <c r="H770" s="465">
        <v>2386.1970999999999</v>
      </c>
      <c r="I770" s="465">
        <v>85.796509999999998</v>
      </c>
      <c r="J770" s="465">
        <v>297.64620000000002</v>
      </c>
      <c r="K770" s="465">
        <v>34195.328569999998</v>
      </c>
      <c r="L770" s="464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Gemini horné vedenie 6m oliva tmavá</v>
      </c>
      <c r="C771" s="185">
        <f t="shared" si="23"/>
        <v>85.796509999999998</v>
      </c>
      <c r="D771" s="409" t="s">
        <v>3132</v>
      </c>
      <c r="E771" s="409" t="s">
        <v>5298</v>
      </c>
      <c r="F771" s="409" t="s">
        <v>1163</v>
      </c>
      <c r="G771" s="409" t="s">
        <v>5299</v>
      </c>
      <c r="H771" s="465">
        <v>2386.1970999999999</v>
      </c>
      <c r="I771" s="465">
        <v>85.796509999999998</v>
      </c>
      <c r="J771" s="465">
        <v>297.64620000000002</v>
      </c>
      <c r="K771" s="465">
        <v>34195.328569999998</v>
      </c>
      <c r="L771" s="464" t="s">
        <v>539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Gemini-2 úch.lišta 2,7m strieborná</v>
      </c>
      <c r="C772" s="185">
        <f t="shared" ref="C772:C835" si="25">IF($A$2=1,H772,IF($A$2=2,I772,IF($A$2=3,J772,IF($A$2=4,K772,IF($A$2&gt;4,O772,"zadat jazyk")))))</f>
        <v>18.892410000000002</v>
      </c>
      <c r="D772" s="409" t="s">
        <v>2774</v>
      </c>
      <c r="E772" s="409" t="s">
        <v>5300</v>
      </c>
      <c r="F772" s="409" t="s">
        <v>1245</v>
      </c>
      <c r="G772" s="409" t="s">
        <v>5301</v>
      </c>
      <c r="H772" s="465">
        <v>525.44104000000004</v>
      </c>
      <c r="I772" s="465">
        <v>18.892410000000002</v>
      </c>
      <c r="J772" s="465">
        <v>78.988799999999998</v>
      </c>
      <c r="K772" s="465">
        <v>7529.8176999999996</v>
      </c>
      <c r="L772" s="464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horná vodiaca lišta 1,7m biela lesk</v>
      </c>
      <c r="C773" s="185">
        <f t="shared" si="25"/>
        <v>10.487109999999999</v>
      </c>
      <c r="D773" s="409" t="s">
        <v>3213</v>
      </c>
      <c r="E773" s="409" t="s">
        <v>5302</v>
      </c>
      <c r="F773" s="409" t="s">
        <v>5303</v>
      </c>
      <c r="G773" s="409" t="s">
        <v>5304</v>
      </c>
      <c r="H773" s="465">
        <v>291.67043000000001</v>
      </c>
      <c r="I773" s="465">
        <v>10.487109999999999</v>
      </c>
      <c r="J773" s="465">
        <v>59.986199999999997</v>
      </c>
      <c r="K773" s="465">
        <v>4179.7746299999999</v>
      </c>
      <c r="L773" s="464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horná vodiaca lišta 1,7m čierna kartáčovaná</v>
      </c>
      <c r="C774" s="185">
        <f t="shared" si="25"/>
        <v>13.11539</v>
      </c>
      <c r="D774" s="409" t="s">
        <v>2963</v>
      </c>
      <c r="E774" s="409" t="s">
        <v>5305</v>
      </c>
      <c r="F774" s="409" t="s">
        <v>5306</v>
      </c>
      <c r="G774" s="409" t="s">
        <v>5307</v>
      </c>
      <c r="H774" s="465">
        <v>364.76897000000002</v>
      </c>
      <c r="I774" s="465">
        <v>13.11539</v>
      </c>
      <c r="J774" s="465">
        <v>63.382800000000003</v>
      </c>
      <c r="K774" s="465">
        <v>5227.3111900000004</v>
      </c>
      <c r="L774" s="464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206 VOD.LIŠTA HOR.1,7M OLIVOVÁ</v>
      </c>
      <c r="C775" s="185">
        <f t="shared" si="25"/>
        <v>9.6283600000000007</v>
      </c>
      <c r="D775" s="409" t="s">
        <v>2664</v>
      </c>
      <c r="E775" s="409" t="s">
        <v>5308</v>
      </c>
      <c r="F775" s="409" t="s">
        <v>5309</v>
      </c>
      <c r="G775" s="409" t="s">
        <v>5310</v>
      </c>
      <c r="H775" s="465">
        <v>267.78674999999998</v>
      </c>
      <c r="I775" s="465">
        <v>9.6283600000000007</v>
      </c>
      <c r="J775" s="465">
        <v>50.755200000000002</v>
      </c>
      <c r="K775" s="465">
        <v>3837.5103100000001</v>
      </c>
      <c r="L775" s="464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horná vodiaca lišta 1,7m oliva kart</v>
      </c>
      <c r="C776" s="185">
        <f t="shared" si="25"/>
        <v>13.11539</v>
      </c>
      <c r="D776" s="409" t="s">
        <v>2814</v>
      </c>
      <c r="E776" s="409" t="s">
        <v>5311</v>
      </c>
      <c r="F776" s="409" t="s">
        <v>1242</v>
      </c>
      <c r="G776" s="409" t="s">
        <v>5312</v>
      </c>
      <c r="H776" s="465">
        <v>364.76897000000002</v>
      </c>
      <c r="I776" s="465">
        <v>13.11539</v>
      </c>
      <c r="J776" s="465">
        <v>63.382800000000003</v>
      </c>
      <c r="K776" s="465">
        <v>5227.3111900000004</v>
      </c>
      <c r="L776" s="464" t="s">
        <v>538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horná vodiaca lišta 1,7m oliva tmavá kartáčovaná</v>
      </c>
      <c r="C777" s="185">
        <f t="shared" si="25"/>
        <v>13.11539</v>
      </c>
      <c r="D777" s="409" t="s">
        <v>2962</v>
      </c>
      <c r="E777" s="409" t="s">
        <v>5313</v>
      </c>
      <c r="F777" s="409" t="s">
        <v>5314</v>
      </c>
      <c r="G777" s="409" t="s">
        <v>5315</v>
      </c>
      <c r="H777" s="465">
        <v>364.76897000000002</v>
      </c>
      <c r="I777" s="465">
        <v>13.11539</v>
      </c>
      <c r="J777" s="465">
        <v>63.382800000000003</v>
      </c>
      <c r="K777" s="465">
        <v>5227.3111900000004</v>
      </c>
      <c r="L777" s="464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206 VOD.LIŠTA HOR.1,7M STRIEBOR.</v>
      </c>
      <c r="C778" s="185">
        <f t="shared" si="25"/>
        <v>8.0670099999999998</v>
      </c>
      <c r="D778" s="409" t="s">
        <v>2663</v>
      </c>
      <c r="E778" s="409" t="s">
        <v>5316</v>
      </c>
      <c r="F778" s="409" t="s">
        <v>5317</v>
      </c>
      <c r="G778" s="409" t="s">
        <v>5318</v>
      </c>
      <c r="H778" s="465">
        <v>224.36187000000001</v>
      </c>
      <c r="I778" s="465">
        <v>8.0670099999999998</v>
      </c>
      <c r="J778" s="465">
        <v>46.144799999999996</v>
      </c>
      <c r="K778" s="465">
        <v>3215.21135</v>
      </c>
      <c r="L778" s="464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horná vodiaca lišta 2,35m biela lesk</v>
      </c>
      <c r="C779" s="185">
        <f t="shared" si="25"/>
        <v>14.52061</v>
      </c>
      <c r="D779" s="409" t="s">
        <v>3206</v>
      </c>
      <c r="E779" s="409" t="s">
        <v>5319</v>
      </c>
      <c r="F779" s="409" t="s">
        <v>5320</v>
      </c>
      <c r="G779" s="409" t="s">
        <v>5321</v>
      </c>
      <c r="H779" s="465">
        <v>403.85138000000001</v>
      </c>
      <c r="I779" s="465">
        <v>14.52061</v>
      </c>
      <c r="J779" s="465">
        <v>82.936199999999999</v>
      </c>
      <c r="K779" s="465">
        <v>5787.3805000000002</v>
      </c>
      <c r="L779" s="464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VODIACA LIŠTA 2,35M čierna KARTÁČ</v>
      </c>
      <c r="C780" s="185">
        <f t="shared" si="25"/>
        <v>18.189800000000002</v>
      </c>
      <c r="D780" s="409" t="s">
        <v>2965</v>
      </c>
      <c r="E780" s="409" t="s">
        <v>5322</v>
      </c>
      <c r="F780" s="409" t="s">
        <v>1241</v>
      </c>
      <c r="G780" s="409" t="s">
        <v>5323</v>
      </c>
      <c r="H780" s="465">
        <v>505.89983999999998</v>
      </c>
      <c r="I780" s="465">
        <v>18.189800000000002</v>
      </c>
      <c r="J780" s="465">
        <v>87.638400000000004</v>
      </c>
      <c r="K780" s="465">
        <v>7249.78305</v>
      </c>
      <c r="L780" s="464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207 VOD.LIŠTA HOR.2,35M OLIVOVÁ</v>
      </c>
      <c r="C781" s="185">
        <f t="shared" si="25"/>
        <v>13.349589999999999</v>
      </c>
      <c r="D781" s="409" t="s">
        <v>2666</v>
      </c>
      <c r="E781" s="409" t="s">
        <v>5324</v>
      </c>
      <c r="F781" s="409" t="s">
        <v>5325</v>
      </c>
      <c r="G781" s="409" t="s">
        <v>5326</v>
      </c>
      <c r="H781" s="465">
        <v>371.28271000000001</v>
      </c>
      <c r="I781" s="465">
        <v>13.349589999999999</v>
      </c>
      <c r="J781" s="465">
        <v>70.186199999999999</v>
      </c>
      <c r="K781" s="465">
        <v>5320.65607</v>
      </c>
      <c r="L781" s="464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horná vodiaca lišta 2,35m oliva kart</v>
      </c>
      <c r="C782" s="185">
        <f t="shared" si="25"/>
        <v>18.189800000000002</v>
      </c>
      <c r="D782" s="409" t="s">
        <v>2815</v>
      </c>
      <c r="E782" s="409" t="s">
        <v>5327</v>
      </c>
      <c r="F782" s="409" t="s">
        <v>1240</v>
      </c>
      <c r="G782" s="409" t="s">
        <v>5328</v>
      </c>
      <c r="H782" s="465">
        <v>505.89983999999998</v>
      </c>
      <c r="I782" s="465">
        <v>18.189800000000002</v>
      </c>
      <c r="J782" s="465">
        <v>87.638400000000004</v>
      </c>
      <c r="K782" s="465">
        <v>7249.78305</v>
      </c>
      <c r="L782" s="464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horná vodiaca lišta 2,35m oliva tmavá kartáčovaná</v>
      </c>
      <c r="C783" s="185">
        <f t="shared" si="25"/>
        <v>18.189800000000002</v>
      </c>
      <c r="D783" s="409" t="s">
        <v>2964</v>
      </c>
      <c r="E783" s="409" t="s">
        <v>5329</v>
      </c>
      <c r="F783" s="409" t="s">
        <v>5330</v>
      </c>
      <c r="G783" s="409" t="s">
        <v>5331</v>
      </c>
      <c r="H783" s="465">
        <v>505.89983999999998</v>
      </c>
      <c r="I783" s="465">
        <v>18.189800000000002</v>
      </c>
      <c r="J783" s="465">
        <v>87.638400000000004</v>
      </c>
      <c r="K783" s="465">
        <v>7249.78305</v>
      </c>
      <c r="L783" s="464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207 VOD.LIŠTA HOR.2,35M STRIEBOR</v>
      </c>
      <c r="C784" s="185">
        <f t="shared" si="25"/>
        <v>11.1637</v>
      </c>
      <c r="D784" s="409" t="s">
        <v>2665</v>
      </c>
      <c r="E784" s="409" t="s">
        <v>5332</v>
      </c>
      <c r="F784" s="409" t="s">
        <v>5333</v>
      </c>
      <c r="G784" s="409" t="s">
        <v>5334</v>
      </c>
      <c r="H784" s="465">
        <v>310.48788999999999</v>
      </c>
      <c r="I784" s="465">
        <v>11.1637</v>
      </c>
      <c r="J784" s="465">
        <v>63.801000000000002</v>
      </c>
      <c r="K784" s="465">
        <v>4449.4376700000003</v>
      </c>
      <c r="L784" s="464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horná vodiaca lišta 2,35m zlatá</v>
      </c>
      <c r="C785" s="185">
        <f t="shared" si="25"/>
        <v>13.349589999999999</v>
      </c>
      <c r="D785" s="409" t="s">
        <v>2678</v>
      </c>
      <c r="E785" s="409" t="s">
        <v>5335</v>
      </c>
      <c r="F785" s="409" t="s">
        <v>5336</v>
      </c>
      <c r="G785" s="409" t="s">
        <v>5337</v>
      </c>
      <c r="H785" s="465">
        <v>371.28271000000001</v>
      </c>
      <c r="I785" s="465">
        <v>13.349589999999999</v>
      </c>
      <c r="J785" s="465">
        <v>70.186199999999999</v>
      </c>
      <c r="K785" s="465">
        <v>5320.65607</v>
      </c>
      <c r="L785" s="464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horná vodiaca lišta 3m biela lesk</v>
      </c>
      <c r="C786" s="185">
        <f t="shared" si="25"/>
        <v>18.528089999999999</v>
      </c>
      <c r="D786" s="409" t="s">
        <v>3203</v>
      </c>
      <c r="E786" s="409" t="s">
        <v>5338</v>
      </c>
      <c r="F786" s="409" t="s">
        <v>5339</v>
      </c>
      <c r="G786" s="409" t="s">
        <v>5340</v>
      </c>
      <c r="H786" s="465">
        <v>515.30856000000006</v>
      </c>
      <c r="I786" s="465">
        <v>18.528089999999999</v>
      </c>
      <c r="J786" s="465">
        <v>105.8454</v>
      </c>
      <c r="K786" s="465">
        <v>7384.61438</v>
      </c>
      <c r="L786" s="464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VODIACA LIŠTA 3M čierna KARTÁČ.</v>
      </c>
      <c r="C787" s="185">
        <f t="shared" si="25"/>
        <v>23.186140000000002</v>
      </c>
      <c r="D787" s="409" t="s">
        <v>2967</v>
      </c>
      <c r="E787" s="409" t="s">
        <v>5341</v>
      </c>
      <c r="F787" s="409" t="s">
        <v>1239</v>
      </c>
      <c r="G787" s="409" t="s">
        <v>5342</v>
      </c>
      <c r="H787" s="465">
        <v>644.85945000000004</v>
      </c>
      <c r="I787" s="465">
        <v>23.186140000000002</v>
      </c>
      <c r="J787" s="465">
        <v>111.41459999999999</v>
      </c>
      <c r="K787" s="465">
        <v>9241.13969</v>
      </c>
      <c r="L787" s="464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208 VOD.LIŠTA HOR 3M OLIVOVÁ</v>
      </c>
      <c r="C788" s="185">
        <f t="shared" si="25"/>
        <v>17.044799999999999</v>
      </c>
      <c r="D788" s="409" t="s">
        <v>2668</v>
      </c>
      <c r="E788" s="409" t="s">
        <v>5343</v>
      </c>
      <c r="F788" s="409" t="s">
        <v>5344</v>
      </c>
      <c r="G788" s="409" t="s">
        <v>5345</v>
      </c>
      <c r="H788" s="465">
        <v>474.05493999999999</v>
      </c>
      <c r="I788" s="465">
        <v>17.044799999999999</v>
      </c>
      <c r="J788" s="465">
        <v>89.566199999999995</v>
      </c>
      <c r="K788" s="465">
        <v>6793.4306200000001</v>
      </c>
      <c r="L788" s="464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horná vodiaca lišta 3m oliva kartáč.</v>
      </c>
      <c r="C789" s="185">
        <f t="shared" si="25"/>
        <v>23.186140000000002</v>
      </c>
      <c r="D789" s="409" t="s">
        <v>2816</v>
      </c>
      <c r="E789" s="409" t="s">
        <v>5346</v>
      </c>
      <c r="F789" s="409" t="s">
        <v>1238</v>
      </c>
      <c r="G789" s="409" t="s">
        <v>5347</v>
      </c>
      <c r="H789" s="465">
        <v>644.85945000000004</v>
      </c>
      <c r="I789" s="465">
        <v>23.186140000000002</v>
      </c>
      <c r="J789" s="465">
        <v>111.41459999999999</v>
      </c>
      <c r="K789" s="465">
        <v>9241.13969</v>
      </c>
      <c r="L789" s="464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horná vodiaca lišta 3m oliva tmavá kartáčovaná</v>
      </c>
      <c r="C790" s="185">
        <f t="shared" si="25"/>
        <v>23.186140000000002</v>
      </c>
      <c r="D790" s="409" t="s">
        <v>2966</v>
      </c>
      <c r="E790" s="409" t="s">
        <v>5348</v>
      </c>
      <c r="F790" s="409" t="s">
        <v>5349</v>
      </c>
      <c r="G790" s="409" t="s">
        <v>5350</v>
      </c>
      <c r="H790" s="465">
        <v>644.85945000000004</v>
      </c>
      <c r="I790" s="465">
        <v>23.186140000000002</v>
      </c>
      <c r="J790" s="465">
        <v>111.41459999999999</v>
      </c>
      <c r="K790" s="465">
        <v>9241.13969</v>
      </c>
      <c r="L790" s="464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208 VOD.LIŠTA HOR 3M STRIEBOR.</v>
      </c>
      <c r="C791" s="185">
        <f t="shared" si="25"/>
        <v>14.26038</v>
      </c>
      <c r="D791" s="409" t="s">
        <v>2667</v>
      </c>
      <c r="E791" s="409" t="s">
        <v>5351</v>
      </c>
      <c r="F791" s="409" t="s">
        <v>5352</v>
      </c>
      <c r="G791" s="409" t="s">
        <v>5353</v>
      </c>
      <c r="H791" s="465">
        <v>396.6139</v>
      </c>
      <c r="I791" s="465">
        <v>14.26038</v>
      </c>
      <c r="J791" s="465">
        <v>81.426599999999993</v>
      </c>
      <c r="K791" s="465">
        <v>5683.6640200000002</v>
      </c>
      <c r="L791" s="464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horná vodiaca lišta 3m zlatá</v>
      </c>
      <c r="C792" s="185">
        <f t="shared" si="25"/>
        <v>17.044799999999999</v>
      </c>
      <c r="D792" s="409" t="s">
        <v>2679</v>
      </c>
      <c r="E792" s="409" t="s">
        <v>5354</v>
      </c>
      <c r="F792" s="409" t="s">
        <v>5355</v>
      </c>
      <c r="G792" s="409" t="s">
        <v>5356</v>
      </c>
      <c r="H792" s="465">
        <v>474.05493999999999</v>
      </c>
      <c r="I792" s="465">
        <v>17.044799999999999</v>
      </c>
      <c r="J792" s="465">
        <v>89.566199999999995</v>
      </c>
      <c r="K792" s="465">
        <v>6793.4306200000001</v>
      </c>
      <c r="L792" s="464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str">
        <f t="shared" si="24"/>
        <v>SEVROLL 03758 horná vodiaca lišta Simple/Blue 1,5m (pre lamino 10mm) oliva</v>
      </c>
      <c r="C793" s="185" t="e">
        <f t="shared" si="25"/>
        <v>#N/A</v>
      </c>
      <c r="D793" s="409" t="s">
        <v>3115</v>
      </c>
      <c r="E793" s="409" t="s">
        <v>5357</v>
      </c>
      <c r="F793" s="409" t="s">
        <v>5358</v>
      </c>
      <c r="G793" s="409" t="s">
        <v>5359</v>
      </c>
      <c r="H793" s="465" t="e">
        <v>#N/A</v>
      </c>
      <c r="I793" s="465" t="e">
        <v>#N/A</v>
      </c>
      <c r="J793" s="465" t="e">
        <v>#N/A</v>
      </c>
      <c r="K793" s="465" t="e">
        <v>#N/A</v>
      </c>
      <c r="L793" s="464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str">
        <f t="shared" si="24"/>
        <v>SEVROLL 03760 horná vodiaca lišta Simple/Blue 2,5m (pre lamino 10mm) oliva</v>
      </c>
      <c r="C794" s="185" t="e">
        <f t="shared" si="25"/>
        <v>#N/A</v>
      </c>
      <c r="D794" s="409" t="s">
        <v>3117</v>
      </c>
      <c r="E794" s="409" t="s">
        <v>5360</v>
      </c>
      <c r="F794" s="409" t="s">
        <v>5361</v>
      </c>
      <c r="G794" s="409" t="s">
        <v>5362</v>
      </c>
      <c r="H794" s="465" t="e">
        <v>#N/A</v>
      </c>
      <c r="I794" s="465" t="e">
        <v>#N/A</v>
      </c>
      <c r="J794" s="465" t="e">
        <v>#N/A</v>
      </c>
      <c r="K794" s="465" t="e">
        <v>#N/A</v>
      </c>
      <c r="L794" s="464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str">
        <f t="shared" si="24"/>
        <v>SEVROLL 03759 horná vodiaca lišta Simple/Blue 2m (pre lamino 10mm) oliva</v>
      </c>
      <c r="C795" s="185" t="e">
        <f t="shared" si="25"/>
        <v>#N/A</v>
      </c>
      <c r="D795" s="409" t="s">
        <v>3116</v>
      </c>
      <c r="E795" s="409" t="s">
        <v>5363</v>
      </c>
      <c r="F795" s="409" t="s">
        <v>5364</v>
      </c>
      <c r="G795" s="409" t="s">
        <v>5365</v>
      </c>
      <c r="H795" s="465" t="e">
        <v>#N/A</v>
      </c>
      <c r="I795" s="465" t="e">
        <v>#N/A</v>
      </c>
      <c r="J795" s="465" t="e">
        <v>#N/A</v>
      </c>
      <c r="K795" s="465" t="e">
        <v>#N/A</v>
      </c>
      <c r="L795" s="464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horná vodiaca lišta Simple/Blue 3m (pre lamino 10mm) oliva</v>
      </c>
      <c r="C796" s="185">
        <f t="shared" si="25"/>
        <v>15.04106</v>
      </c>
      <c r="D796" s="409" t="s">
        <v>3077</v>
      </c>
      <c r="E796" s="409" t="s">
        <v>5366</v>
      </c>
      <c r="F796" s="409" t="s">
        <v>5367</v>
      </c>
      <c r="G796" s="409" t="s">
        <v>5368</v>
      </c>
      <c r="H796" s="465">
        <v>413.81202999999999</v>
      </c>
      <c r="I796" s="465">
        <v>15.04106</v>
      </c>
      <c r="J796" s="465">
        <v>52.450780000000002</v>
      </c>
      <c r="K796" s="465">
        <v>6116.1660000000002</v>
      </c>
      <c r="L796" s="464" t="s">
        <v>695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horná vodiaca lišta Simple/Blue 3m(pre lamino 10mm)strieborná</v>
      </c>
      <c r="C797" s="185">
        <f t="shared" si="25"/>
        <v>12.02244</v>
      </c>
      <c r="D797" s="409" t="s">
        <v>3031</v>
      </c>
      <c r="E797" s="409" t="s">
        <v>5369</v>
      </c>
      <c r="F797" s="409" t="s">
        <v>5370</v>
      </c>
      <c r="G797" s="409" t="s">
        <v>5371</v>
      </c>
      <c r="H797" s="465">
        <v>330.76324</v>
      </c>
      <c r="I797" s="465">
        <v>12.02244</v>
      </c>
      <c r="J797" s="465">
        <v>45.607320000000001</v>
      </c>
      <c r="K797" s="465">
        <v>4888.7000099999996</v>
      </c>
      <c r="L797" s="464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9" t="e">
        <v>#N/A</v>
      </c>
      <c r="E798" s="409" t="e">
        <v>#N/A</v>
      </c>
      <c r="F798" s="409" t="e">
        <v>#N/A</v>
      </c>
      <c r="G798" s="409" t="e">
        <v>#N/A</v>
      </c>
      <c r="H798" s="465" t="e">
        <v>#N/A</v>
      </c>
      <c r="I798" s="465" t="e">
        <v>#N/A</v>
      </c>
      <c r="J798" s="465" t="e">
        <v>#N/A</v>
      </c>
      <c r="K798" s="465" t="e">
        <v>#N/A</v>
      </c>
      <c r="L798" s="464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horná vodiaca lišta Simple/Blue 1,5m (pre lamino 18mm) strieborná</v>
      </c>
      <c r="C799" s="185">
        <f t="shared" si="25"/>
        <v>5.2045199999999996</v>
      </c>
      <c r="D799" s="409" t="s">
        <v>3102</v>
      </c>
      <c r="E799" s="409" t="s">
        <v>5372</v>
      </c>
      <c r="F799" s="409" t="s">
        <v>5373</v>
      </c>
      <c r="G799" s="409" t="s">
        <v>2479</v>
      </c>
      <c r="H799" s="465">
        <v>143.18754999999999</v>
      </c>
      <c r="I799" s="465">
        <v>5.2045199999999996</v>
      </c>
      <c r="J799" s="465">
        <v>24.998290000000001</v>
      </c>
      <c r="K799" s="465">
        <v>2116.3203899999999</v>
      </c>
      <c r="L799" s="464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horná vodiaca lišta Simple/Blue 2,5m (pre lamino 18mm) oliva</v>
      </c>
      <c r="C800" s="185">
        <f t="shared" si="25"/>
        <v>0</v>
      </c>
      <c r="D800" s="409" t="s">
        <v>3106</v>
      </c>
      <c r="E800" s="409" t="s">
        <v>5374</v>
      </c>
      <c r="F800" s="409" t="s">
        <v>5375</v>
      </c>
      <c r="G800" s="409" t="s">
        <v>5376</v>
      </c>
      <c r="H800" s="465">
        <v>0</v>
      </c>
      <c r="I800" s="465">
        <v>0</v>
      </c>
      <c r="J800" s="465">
        <v>27.547039999999999</v>
      </c>
      <c r="K800" s="465">
        <v>0</v>
      </c>
      <c r="L800" s="464" t="s">
        <v>539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horná vodiaca lišta Simple/Blue 2,5m (pre lamino 18mm) strieborná</v>
      </c>
      <c r="C801" s="185">
        <f t="shared" si="25"/>
        <v>8.6655300000000004</v>
      </c>
      <c r="D801" s="409" t="s">
        <v>3104</v>
      </c>
      <c r="E801" s="409" t="s">
        <v>5377</v>
      </c>
      <c r="F801" s="409" t="s">
        <v>5378</v>
      </c>
      <c r="G801" s="409" t="s">
        <v>5379</v>
      </c>
      <c r="H801" s="465">
        <v>238.40726000000001</v>
      </c>
      <c r="I801" s="465">
        <v>8.6655300000000004</v>
      </c>
      <c r="J801" s="465">
        <v>41.658569999999997</v>
      </c>
      <c r="K801" s="465">
        <v>3523.6733399999998</v>
      </c>
      <c r="L801" s="464" t="s">
        <v>539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horná vodiaca lišta Simple/Blue 2m (pre lamino 18mm) oliva</v>
      </c>
      <c r="C802" s="185">
        <f t="shared" si="25"/>
        <v>8.5874600000000001</v>
      </c>
      <c r="D802" s="409" t="s">
        <v>3105</v>
      </c>
      <c r="E802" s="409" t="s">
        <v>5380</v>
      </c>
      <c r="F802" s="409" t="s">
        <v>5381</v>
      </c>
      <c r="G802" s="409" t="s">
        <v>5382</v>
      </c>
      <c r="H802" s="465">
        <v>236.25945999999999</v>
      </c>
      <c r="I802" s="465">
        <v>8.5874600000000001</v>
      </c>
      <c r="J802" s="465">
        <v>38.323360000000001</v>
      </c>
      <c r="K802" s="465">
        <v>3491.9286400000001</v>
      </c>
      <c r="L802" s="464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horná vodiaca lišta Simple/Blue 2m (pre lamino 18mm) strieborná</v>
      </c>
      <c r="C803" s="185">
        <f t="shared" si="25"/>
        <v>6.9220100000000002</v>
      </c>
      <c r="D803" s="409" t="s">
        <v>3103</v>
      </c>
      <c r="E803" s="409" t="s">
        <v>5383</v>
      </c>
      <c r="F803" s="409" t="s">
        <v>5384</v>
      </c>
      <c r="G803" s="409" t="s">
        <v>5385</v>
      </c>
      <c r="H803" s="465">
        <v>190.43944999999999</v>
      </c>
      <c r="I803" s="465">
        <v>6.9220100000000002</v>
      </c>
      <c r="J803" s="465">
        <v>33.336289999999998</v>
      </c>
      <c r="K803" s="465">
        <v>2814.7062900000001</v>
      </c>
      <c r="L803" s="464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horná vodiaca lišta Simple/Blue 3m (pre lamino 18mm) oliva</v>
      </c>
      <c r="C804" s="185">
        <f t="shared" si="25"/>
        <v>12.85516</v>
      </c>
      <c r="D804" s="409" t="s">
        <v>3075</v>
      </c>
      <c r="E804" s="409" t="s">
        <v>5386</v>
      </c>
      <c r="F804" s="409" t="s">
        <v>5387</v>
      </c>
      <c r="G804" s="409" t="s">
        <v>5388</v>
      </c>
      <c r="H804" s="465">
        <v>353.67324000000002</v>
      </c>
      <c r="I804" s="465">
        <v>12.85516</v>
      </c>
      <c r="J804" s="465">
        <v>57.532240000000002</v>
      </c>
      <c r="K804" s="465">
        <v>5227.3112000000001</v>
      </c>
      <c r="L804" s="464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horná vodiaca lišta Simple/Blue 3m (pre lamino 18mm) strieborná</v>
      </c>
      <c r="C805" s="185">
        <f t="shared" si="25"/>
        <v>10.38302</v>
      </c>
      <c r="D805" s="409" t="s">
        <v>3029</v>
      </c>
      <c r="E805" s="409" t="s">
        <v>5389</v>
      </c>
      <c r="F805" s="409" t="s">
        <v>5390</v>
      </c>
      <c r="G805" s="409" t="s">
        <v>2381</v>
      </c>
      <c r="H805" s="465">
        <v>285.65917000000002</v>
      </c>
      <c r="I805" s="465">
        <v>10.38302</v>
      </c>
      <c r="J805" s="465">
        <v>50.028039999999997</v>
      </c>
      <c r="K805" s="465">
        <v>4222.0592100000003</v>
      </c>
      <c r="L805" s="464" t="s">
        <v>695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horný vozík 10mm asymetrický L+P</v>
      </c>
      <c r="C806" s="185">
        <f t="shared" si="25"/>
        <v>5.5948599999999997</v>
      </c>
      <c r="D806" s="409" t="s">
        <v>2749</v>
      </c>
      <c r="E806" s="409" t="s">
        <v>5391</v>
      </c>
      <c r="F806" s="409" t="s">
        <v>5392</v>
      </c>
      <c r="G806" s="409" t="s">
        <v>5393</v>
      </c>
      <c r="H806" s="465">
        <v>165.12128999999999</v>
      </c>
      <c r="I806" s="465">
        <v>5.5948599999999997</v>
      </c>
      <c r="J806" s="465">
        <v>27.305399999999999</v>
      </c>
      <c r="K806" s="465">
        <v>2293.10052</v>
      </c>
      <c r="L806" s="464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horný vozík Blue 10mm symetrický L+P</v>
      </c>
      <c r="C807" s="185">
        <f t="shared" si="25"/>
        <v>3.64316</v>
      </c>
      <c r="D807" s="409" t="s">
        <v>3425</v>
      </c>
      <c r="E807" s="409" t="s">
        <v>5394</v>
      </c>
      <c r="F807" s="409" t="s">
        <v>5395</v>
      </c>
      <c r="G807" s="409" t="s">
        <v>5396</v>
      </c>
      <c r="H807" s="465">
        <v>107.52083</v>
      </c>
      <c r="I807" s="465">
        <v>3.64316</v>
      </c>
      <c r="J807" s="465">
        <v>15.244389999999999</v>
      </c>
      <c r="K807" s="465">
        <v>1493.1815999999999</v>
      </c>
      <c r="L807" s="464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horný vozík Gemini symetrický 10mm - 2ks</v>
      </c>
      <c r="C808" s="185">
        <f t="shared" si="25"/>
        <v>5.1758899999999999</v>
      </c>
      <c r="D808" s="409" t="s">
        <v>3145</v>
      </c>
      <c r="E808" s="409" t="s">
        <v>5397</v>
      </c>
      <c r="F808" s="409" t="s">
        <v>5398</v>
      </c>
      <c r="G808" s="409" t="s">
        <v>5399</v>
      </c>
      <c r="H808" s="465">
        <v>152.83319</v>
      </c>
      <c r="I808" s="465">
        <v>5.1758899999999999</v>
      </c>
      <c r="J808" s="465">
        <v>23.174399999999999</v>
      </c>
      <c r="K808" s="465">
        <v>2122.4510500000001</v>
      </c>
      <c r="L808" s="464" t="s">
        <v>695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horný vozík Simple (10mm Fala ) asym</v>
      </c>
      <c r="C809" s="185">
        <f t="shared" si="25"/>
        <v>2.1598799999999998</v>
      </c>
      <c r="D809" s="409" t="s">
        <v>3012</v>
      </c>
      <c r="E809" s="409" t="s">
        <v>5400</v>
      </c>
      <c r="F809" s="409" t="s">
        <v>1058</v>
      </c>
      <c r="G809" s="409" t="s">
        <v>5401</v>
      </c>
      <c r="H809" s="465">
        <v>63.744489999999999</v>
      </c>
      <c r="I809" s="465">
        <v>2.1598799999999998</v>
      </c>
      <c r="J809" s="465">
        <v>8.4953299999999992</v>
      </c>
      <c r="K809" s="465">
        <v>885.24325999999996</v>
      </c>
      <c r="L809" s="464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horný vozík Simple (10mm Polo) symet</v>
      </c>
      <c r="C810" s="185">
        <f t="shared" si="25"/>
        <v>2.1598799999999998</v>
      </c>
      <c r="D810" s="409" t="s">
        <v>3013</v>
      </c>
      <c r="E810" s="409" t="s">
        <v>5402</v>
      </c>
      <c r="F810" s="409" t="s">
        <v>1057</v>
      </c>
      <c r="G810" s="409" t="s">
        <v>5403</v>
      </c>
      <c r="H810" s="465">
        <v>63.744489999999999</v>
      </c>
      <c r="I810" s="465">
        <v>2.1598799999999998</v>
      </c>
      <c r="J810" s="465">
        <v>8.4953299999999992</v>
      </c>
      <c r="K810" s="465">
        <v>885.24325999999996</v>
      </c>
      <c r="L810" s="464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horný vozík Simple (pre lamino 18mm) bezrámový L+P</v>
      </c>
      <c r="C811" s="185">
        <f t="shared" si="25"/>
        <v>2.2119200000000001</v>
      </c>
      <c r="D811" s="409" t="s">
        <v>3015</v>
      </c>
      <c r="E811" s="409" t="s">
        <v>5404</v>
      </c>
      <c r="F811" s="409" t="s">
        <v>5405</v>
      </c>
      <c r="G811" s="409" t="s">
        <v>5406</v>
      </c>
      <c r="H811" s="465">
        <v>65.280519999999996</v>
      </c>
      <c r="I811" s="465">
        <v>2.2119200000000001</v>
      </c>
      <c r="J811" s="465">
        <v>7.5828699999999998</v>
      </c>
      <c r="K811" s="465">
        <v>906.57474000000002</v>
      </c>
      <c r="L811" s="464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horný vozík Simple (18mm)rámový L+P</v>
      </c>
      <c r="C812" s="185">
        <f t="shared" si="25"/>
        <v>2.1598799999999998</v>
      </c>
      <c r="D812" s="409" t="s">
        <v>3014</v>
      </c>
      <c r="E812" s="409" t="s">
        <v>5407</v>
      </c>
      <c r="F812" s="409" t="s">
        <v>1056</v>
      </c>
      <c r="G812" s="409" t="s">
        <v>5408</v>
      </c>
      <c r="H812" s="465">
        <v>63.744489999999999</v>
      </c>
      <c r="I812" s="465">
        <v>2.1598799999999998</v>
      </c>
      <c r="J812" s="465">
        <v>8.4953299999999992</v>
      </c>
      <c r="K812" s="465">
        <v>885.24325999999996</v>
      </c>
      <c r="L812" s="464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9" t="e">
        <v>#N/A</v>
      </c>
      <c r="E813" s="409" t="e">
        <v>#N/A</v>
      </c>
      <c r="F813" s="409" t="e">
        <v>#N/A</v>
      </c>
      <c r="G813" s="409" t="e">
        <v>#N/A</v>
      </c>
      <c r="H813" s="465" t="e">
        <v>#N/A</v>
      </c>
      <c r="I813" s="465" t="e">
        <v>#N/A</v>
      </c>
      <c r="J813" s="465" t="e">
        <v>#N/A</v>
      </c>
      <c r="K813" s="465" t="e">
        <v>#N/A</v>
      </c>
      <c r="L813" s="464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9" t="e">
        <v>#N/A</v>
      </c>
      <c r="E814" s="409" t="e">
        <v>#N/A</v>
      </c>
      <c r="F814" s="409" t="e">
        <v>#N/A</v>
      </c>
      <c r="G814" s="409" t="e">
        <v>#N/A</v>
      </c>
      <c r="H814" s="465" t="e">
        <v>#N/A</v>
      </c>
      <c r="I814" s="465" t="e">
        <v>#N/A</v>
      </c>
      <c r="J814" s="465" t="e">
        <v>#N/A</v>
      </c>
      <c r="K814" s="465" t="e">
        <v>#N/A</v>
      </c>
      <c r="L814" s="464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9" t="e">
        <v>#N/A</v>
      </c>
      <c r="E815" s="409" t="e">
        <v>#N/A</v>
      </c>
      <c r="F815" s="409" t="e">
        <v>#N/A</v>
      </c>
      <c r="G815" s="409" t="e">
        <v>#N/A</v>
      </c>
      <c r="H815" s="465" t="e">
        <v>#N/A</v>
      </c>
      <c r="I815" s="465" t="e">
        <v>#N/A</v>
      </c>
      <c r="J815" s="465" t="e">
        <v>#N/A</v>
      </c>
      <c r="K815" s="465" t="e">
        <v>#N/A</v>
      </c>
      <c r="L815" s="464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9" t="e">
        <v>#N/A</v>
      </c>
      <c r="E816" s="409" t="e">
        <v>#N/A</v>
      </c>
      <c r="F816" s="409" t="e">
        <v>#N/A</v>
      </c>
      <c r="G816" s="409" t="e">
        <v>#N/A</v>
      </c>
      <c r="H816" s="465" t="e">
        <v>#N/A</v>
      </c>
      <c r="I816" s="465" t="e">
        <v>#N/A</v>
      </c>
      <c r="J816" s="465" t="e">
        <v>#N/A</v>
      </c>
      <c r="K816" s="465" t="e">
        <v>#N/A</v>
      </c>
      <c r="L816" s="464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9" t="e">
        <v>#N/A</v>
      </c>
      <c r="E817" s="409" t="e">
        <v>#N/A</v>
      </c>
      <c r="F817" s="409" t="e">
        <v>#N/A</v>
      </c>
      <c r="G817" s="409" t="e">
        <v>#N/A</v>
      </c>
      <c r="H817" s="465" t="e">
        <v>#N/A</v>
      </c>
      <c r="I817" s="465" t="e">
        <v>#N/A</v>
      </c>
      <c r="J817" s="465" t="e">
        <v>#N/A</v>
      </c>
      <c r="K817" s="465" t="e">
        <v>#N/A</v>
      </c>
      <c r="L817" s="464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str">
        <f t="shared" si="24"/>
        <v>SEVROLL 258-MASKA CLEFT 1,7M ZLATÁ</v>
      </c>
      <c r="C818" s="185" t="e">
        <f t="shared" si="25"/>
        <v>#N/A</v>
      </c>
      <c r="D818" s="409" t="s">
        <v>1055</v>
      </c>
      <c r="E818" s="409" t="s">
        <v>5409</v>
      </c>
      <c r="F818" s="409" t="s">
        <v>5410</v>
      </c>
      <c r="G818" s="409" t="s">
        <v>5411</v>
      </c>
      <c r="H818" s="465" t="e">
        <v>#N/A</v>
      </c>
      <c r="I818" s="465" t="e">
        <v>#N/A</v>
      </c>
      <c r="J818" s="465" t="e">
        <v>#N/A</v>
      </c>
      <c r="K818" s="465" t="e">
        <v>#N/A</v>
      </c>
      <c r="L818" s="464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9" t="e">
        <v>#N/A</v>
      </c>
      <c r="E819" s="409" t="e">
        <v>#N/A</v>
      </c>
      <c r="F819" s="409" t="e">
        <v>#N/A</v>
      </c>
      <c r="G819" s="409" t="e">
        <v>#N/A</v>
      </c>
      <c r="H819" s="465" t="e">
        <v>#N/A</v>
      </c>
      <c r="I819" s="465" t="e">
        <v>#N/A</v>
      </c>
      <c r="J819" s="465" t="e">
        <v>#N/A</v>
      </c>
      <c r="K819" s="465" t="e">
        <v>#N/A</v>
      </c>
      <c r="L819" s="464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259-MASKA CLEFT 2,35M STRIEBOR.</v>
      </c>
      <c r="C820" s="185">
        <f t="shared" si="25"/>
        <v>3.3801000000000001</v>
      </c>
      <c r="D820" s="409" t="s">
        <v>1054</v>
      </c>
      <c r="E820" s="409" t="s">
        <v>5412</v>
      </c>
      <c r="F820" s="409" t="s">
        <v>5413</v>
      </c>
      <c r="G820" s="409" t="s">
        <v>5414</v>
      </c>
      <c r="H820" s="465">
        <v>85.58</v>
      </c>
      <c r="I820" s="465">
        <v>3.3801000000000001</v>
      </c>
      <c r="J820" s="465">
        <v>0</v>
      </c>
      <c r="K820" s="465">
        <v>1462.85733</v>
      </c>
      <c r="L820" s="464" t="s">
        <v>540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str">
        <f t="shared" si="24"/>
        <v>SEVROLL 259-MASKA CLEFT 2,35M ZLATÁ</v>
      </c>
      <c r="C821" s="185" t="e">
        <f t="shared" si="25"/>
        <v>#N/A</v>
      </c>
      <c r="D821" s="409" t="s">
        <v>1053</v>
      </c>
      <c r="E821" s="409" t="s">
        <v>5415</v>
      </c>
      <c r="F821" s="409" t="s">
        <v>5416</v>
      </c>
      <c r="G821" s="409" t="s">
        <v>5417</v>
      </c>
      <c r="H821" s="465" t="e">
        <v>#N/A</v>
      </c>
      <c r="I821" s="465" t="e">
        <v>#N/A</v>
      </c>
      <c r="J821" s="465" t="e">
        <v>#N/A</v>
      </c>
      <c r="K821" s="465" t="e">
        <v>#N/A</v>
      </c>
      <c r="L821" s="464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9" t="e">
        <v>#N/A</v>
      </c>
      <c r="E822" s="409" t="e">
        <v>#N/A</v>
      </c>
      <c r="F822" s="409" t="e">
        <v>#N/A</v>
      </c>
      <c r="G822" s="409" t="e">
        <v>#N/A</v>
      </c>
      <c r="H822" s="465" t="e">
        <v>#N/A</v>
      </c>
      <c r="I822" s="465" t="e">
        <v>#N/A</v>
      </c>
      <c r="J822" s="465" t="e">
        <v>#N/A</v>
      </c>
      <c r="K822" s="465" t="e">
        <v>#N/A</v>
      </c>
      <c r="L822" s="464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9" t="e">
        <v>#N/A</v>
      </c>
      <c r="E823" s="409" t="e">
        <v>#N/A</v>
      </c>
      <c r="F823" s="409" t="e">
        <v>#N/A</v>
      </c>
      <c r="G823" s="409" t="e">
        <v>#N/A</v>
      </c>
      <c r="H823" s="465" t="e">
        <v>#N/A</v>
      </c>
      <c r="I823" s="465" t="e">
        <v>#N/A</v>
      </c>
      <c r="J823" s="465" t="e">
        <v>#N/A</v>
      </c>
      <c r="K823" s="465" t="e">
        <v>#N/A</v>
      </c>
      <c r="L823" s="464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str">
        <f t="shared" si="24"/>
        <v>SEVROLL 260-MASKA CLEFT 3M ZLATÁ</v>
      </c>
      <c r="C824" s="185" t="e">
        <f t="shared" si="25"/>
        <v>#N/A</v>
      </c>
      <c r="D824" s="409" t="s">
        <v>1052</v>
      </c>
      <c r="E824" s="409" t="s">
        <v>5418</v>
      </c>
      <c r="F824" s="409" t="s">
        <v>5419</v>
      </c>
      <c r="G824" s="409" t="s">
        <v>5420</v>
      </c>
      <c r="H824" s="465" t="e">
        <v>#N/A</v>
      </c>
      <c r="I824" s="465" t="e">
        <v>#N/A</v>
      </c>
      <c r="J824" s="465" t="e">
        <v>#N/A</v>
      </c>
      <c r="K824" s="465" t="e">
        <v>#N/A</v>
      </c>
      <c r="L824" s="464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9" t="e">
        <v>#N/A</v>
      </c>
      <c r="E825" s="409" t="e">
        <v>#N/A</v>
      </c>
      <c r="F825" s="409" t="e">
        <v>#N/A</v>
      </c>
      <c r="G825" s="409" t="e">
        <v>#N/A</v>
      </c>
      <c r="H825" s="465" t="e">
        <v>#N/A</v>
      </c>
      <c r="I825" s="465" t="e">
        <v>#N/A</v>
      </c>
      <c r="J825" s="465" t="e">
        <v>#N/A</v>
      </c>
      <c r="K825" s="465" t="e">
        <v>#N/A</v>
      </c>
      <c r="L825" s="464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9" t="e">
        <v>#N/A</v>
      </c>
      <c r="E826" s="409" t="e">
        <v>#N/A</v>
      </c>
      <c r="F826" s="409" t="e">
        <v>#N/A</v>
      </c>
      <c r="G826" s="409" t="e">
        <v>#N/A</v>
      </c>
      <c r="H826" s="465" t="e">
        <v>#N/A</v>
      </c>
      <c r="I826" s="465" t="e">
        <v>#N/A</v>
      </c>
      <c r="J826" s="465" t="e">
        <v>#N/A</v>
      </c>
      <c r="K826" s="465" t="e">
        <v>#N/A</v>
      </c>
      <c r="L826" s="464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str">
        <f t="shared" si="24"/>
        <v>SEVROLL 270-MASKA CLEFT 4,05 M ZLATÁ</v>
      </c>
      <c r="C827" s="185" t="e">
        <f t="shared" si="25"/>
        <v>#N/A</v>
      </c>
      <c r="D827" s="409" t="s">
        <v>2674</v>
      </c>
      <c r="E827" s="409" t="s">
        <v>5421</v>
      </c>
      <c r="F827" s="409" t="s">
        <v>5422</v>
      </c>
      <c r="G827" s="409" t="s">
        <v>5423</v>
      </c>
      <c r="H827" s="465" t="e">
        <v>#N/A</v>
      </c>
      <c r="I827" s="465" t="e">
        <v>#N/A</v>
      </c>
      <c r="J827" s="465" t="e">
        <v>#N/A</v>
      </c>
      <c r="K827" s="465" t="e">
        <v>#N/A</v>
      </c>
      <c r="L827" s="464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maska Cleft 6m strieborná</v>
      </c>
      <c r="C828" s="185">
        <f t="shared" si="25"/>
        <v>3.8414600000000001</v>
      </c>
      <c r="D828" s="409" t="s">
        <v>2847</v>
      </c>
      <c r="E828" s="409" t="s">
        <v>5424</v>
      </c>
      <c r="F828" s="409" t="s">
        <v>5425</v>
      </c>
      <c r="G828" s="409" t="s">
        <v>5426</v>
      </c>
      <c r="H828" s="465">
        <v>87.75609</v>
      </c>
      <c r="I828" s="465">
        <v>3.8414600000000001</v>
      </c>
      <c r="J828" s="465">
        <v>17.19848</v>
      </c>
      <c r="K828" s="465">
        <v>1464.5577000000001</v>
      </c>
      <c r="L828" s="464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maska Elegant II 1,7m oliva</v>
      </c>
      <c r="C829" s="185">
        <f t="shared" si="25"/>
        <v>3.20078</v>
      </c>
      <c r="D829" s="409" t="s">
        <v>3332</v>
      </c>
      <c r="E829" s="409" t="s">
        <v>5427</v>
      </c>
      <c r="F829" s="409" t="s">
        <v>3332</v>
      </c>
      <c r="G829" s="409" t="s">
        <v>5428</v>
      </c>
      <c r="H829" s="465">
        <v>89.020989999999998</v>
      </c>
      <c r="I829" s="465">
        <v>3.20078</v>
      </c>
      <c r="J829" s="465">
        <v>11.006679999999999</v>
      </c>
      <c r="K829" s="465">
        <v>1275.7127599999999</v>
      </c>
      <c r="L829" s="464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maska Elegant II 1,7m strieborná</v>
      </c>
      <c r="C830" s="185">
        <f t="shared" si="25"/>
        <v>2.5762399999999999</v>
      </c>
      <c r="D830" s="409" t="s">
        <v>3334</v>
      </c>
      <c r="E830" s="409" t="s">
        <v>5429</v>
      </c>
      <c r="F830" s="409" t="s">
        <v>5430</v>
      </c>
      <c r="G830" s="409" t="s">
        <v>2379</v>
      </c>
      <c r="H830" s="465">
        <v>71.651049999999998</v>
      </c>
      <c r="I830" s="465">
        <v>2.5762399999999999</v>
      </c>
      <c r="J830" s="465">
        <v>9.3840000000000003</v>
      </c>
      <c r="K830" s="465">
        <v>1026.7933499999999</v>
      </c>
      <c r="L830" s="464" t="s">
        <v>695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maska Elegant II 1,7m zlatá</v>
      </c>
      <c r="C831" s="185">
        <f t="shared" si="25"/>
        <v>3.20078</v>
      </c>
      <c r="D831" s="409" t="s">
        <v>3327</v>
      </c>
      <c r="E831" s="409" t="s">
        <v>5431</v>
      </c>
      <c r="F831" s="409" t="s">
        <v>1137</v>
      </c>
      <c r="G831" s="409" t="s">
        <v>5432</v>
      </c>
      <c r="H831" s="465">
        <v>89.020989999999998</v>
      </c>
      <c r="I831" s="465">
        <v>3.20078</v>
      </c>
      <c r="J831" s="465">
        <v>11.006679999999999</v>
      </c>
      <c r="K831" s="465">
        <v>1275.7127599999999</v>
      </c>
      <c r="L831" s="464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maska Elegant II 2,35m oliva</v>
      </c>
      <c r="C832" s="185">
        <f t="shared" si="25"/>
        <v>4.4238400000000002</v>
      </c>
      <c r="D832" s="409" t="s">
        <v>3335</v>
      </c>
      <c r="E832" s="409" t="s">
        <v>5433</v>
      </c>
      <c r="F832" s="409" t="s">
        <v>3335</v>
      </c>
      <c r="G832" s="409" t="s">
        <v>5434</v>
      </c>
      <c r="H832" s="465">
        <v>123.03716</v>
      </c>
      <c r="I832" s="465">
        <v>4.4238400000000002</v>
      </c>
      <c r="J832" s="465">
        <v>15.21246</v>
      </c>
      <c r="K832" s="465">
        <v>1763.1804299999999</v>
      </c>
      <c r="L832" s="464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maska Elegant II 2,35m strieborná</v>
      </c>
      <c r="C833" s="185">
        <f t="shared" si="25"/>
        <v>3.5390700000000002</v>
      </c>
      <c r="D833" s="409" t="s">
        <v>3337</v>
      </c>
      <c r="E833" s="409" t="s">
        <v>5435</v>
      </c>
      <c r="F833" s="409" t="s">
        <v>5436</v>
      </c>
      <c r="G833" s="409" t="s">
        <v>5437</v>
      </c>
      <c r="H833" s="465">
        <v>98.429739999999995</v>
      </c>
      <c r="I833" s="465">
        <v>3.5390700000000002</v>
      </c>
      <c r="J833" s="465">
        <v>12.9846</v>
      </c>
      <c r="K833" s="465">
        <v>1410.5445099999999</v>
      </c>
      <c r="L833" s="464" t="s">
        <v>695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maska Elegant II 2,35m zlatá</v>
      </c>
      <c r="C834" s="185">
        <f t="shared" si="25"/>
        <v>4.4238400000000002</v>
      </c>
      <c r="D834" s="409" t="s">
        <v>3328</v>
      </c>
      <c r="E834" s="409" t="s">
        <v>5438</v>
      </c>
      <c r="F834" s="409" t="s">
        <v>1136</v>
      </c>
      <c r="G834" s="409" t="s">
        <v>5439</v>
      </c>
      <c r="H834" s="465">
        <v>123.03716</v>
      </c>
      <c r="I834" s="465">
        <v>4.4238400000000002</v>
      </c>
      <c r="J834" s="465">
        <v>15.21246</v>
      </c>
      <c r="K834" s="465">
        <v>1763.1804299999999</v>
      </c>
      <c r="L834" s="464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maska Elegant II 3m oliva</v>
      </c>
      <c r="C835" s="185">
        <f t="shared" si="25"/>
        <v>5.6599199999999996</v>
      </c>
      <c r="D835" s="409" t="s">
        <v>3360</v>
      </c>
      <c r="E835" s="409" t="s">
        <v>5440</v>
      </c>
      <c r="F835" s="409" t="s">
        <v>3360</v>
      </c>
      <c r="G835" s="409" t="s">
        <v>5441</v>
      </c>
      <c r="H835" s="465">
        <v>157.77707000000001</v>
      </c>
      <c r="I835" s="465">
        <v>5.6599199999999996</v>
      </c>
      <c r="J835" s="465">
        <v>19.507760000000001</v>
      </c>
      <c r="K835" s="465">
        <v>2261.0196700000001</v>
      </c>
      <c r="L835" s="464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maska Elegant II 3m strieborná</v>
      </c>
      <c r="C836" s="185">
        <f t="shared" ref="C836:C899" si="27">IF($A$2=1,H836,IF($A$2=2,I836,IF($A$2=3,J836,IF($A$2=4,K836,IF($A$2&gt;4,O836,"zadat jazyk")))))</f>
        <v>4.5279299999999996</v>
      </c>
      <c r="D836" s="409" t="s">
        <v>3359</v>
      </c>
      <c r="E836" s="409" t="s">
        <v>5442</v>
      </c>
      <c r="F836" s="409" t="s">
        <v>5443</v>
      </c>
      <c r="G836" s="409" t="s">
        <v>5444</v>
      </c>
      <c r="H836" s="465">
        <v>125.93214</v>
      </c>
      <c r="I836" s="465">
        <v>4.5279299999999996</v>
      </c>
      <c r="J836" s="465">
        <v>16.564800000000002</v>
      </c>
      <c r="K836" s="465">
        <v>1804.66687</v>
      </c>
      <c r="L836" s="464" t="s">
        <v>695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maska Elegant II 3m zlatá</v>
      </c>
      <c r="C837" s="185">
        <f t="shared" si="27"/>
        <v>7.6506400000000001</v>
      </c>
      <c r="D837" s="409" t="s">
        <v>3329</v>
      </c>
      <c r="E837" s="409" t="s">
        <v>5445</v>
      </c>
      <c r="F837" s="409" t="s">
        <v>1135</v>
      </c>
      <c r="G837" s="409" t="s">
        <v>5446</v>
      </c>
      <c r="H837" s="465">
        <v>210.05124000000001</v>
      </c>
      <c r="I837" s="465">
        <v>7.6506400000000001</v>
      </c>
      <c r="J837" s="465">
        <v>19.507760000000001</v>
      </c>
      <c r="K837" s="465">
        <v>2261.0196700000001</v>
      </c>
      <c r="L837" s="464" t="s">
        <v>538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maska Elegant II 4,05m oliva</v>
      </c>
      <c r="C838" s="185">
        <f t="shared" si="27"/>
        <v>7.6506400000000001</v>
      </c>
      <c r="D838" s="409" t="s">
        <v>3366</v>
      </c>
      <c r="E838" s="409" t="s">
        <v>5447</v>
      </c>
      <c r="F838" s="409" t="s">
        <v>3366</v>
      </c>
      <c r="G838" s="409" t="s">
        <v>5448</v>
      </c>
      <c r="H838" s="465">
        <v>212.78190000000001</v>
      </c>
      <c r="I838" s="465">
        <v>7.6506400000000001</v>
      </c>
      <c r="J838" s="465">
        <v>26.30864</v>
      </c>
      <c r="K838" s="465">
        <v>3049.2647999999999</v>
      </c>
      <c r="L838" s="464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maska Elegant II 4,05m strieborná</v>
      </c>
      <c r="C839" s="185">
        <f t="shared" si="27"/>
        <v>6.1127000000000002</v>
      </c>
      <c r="D839" s="409" t="s">
        <v>3365</v>
      </c>
      <c r="E839" s="409" t="s">
        <v>5449</v>
      </c>
      <c r="F839" s="409" t="s">
        <v>5450</v>
      </c>
      <c r="G839" s="409" t="s">
        <v>5451</v>
      </c>
      <c r="H839" s="465">
        <v>170.08079000000001</v>
      </c>
      <c r="I839" s="465">
        <v>6.1127000000000002</v>
      </c>
      <c r="J839" s="465">
        <v>22.368600000000001</v>
      </c>
      <c r="K839" s="465">
        <v>2437.3378299999999</v>
      </c>
      <c r="L839" s="464" t="s">
        <v>695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maska Elegant II 4,05m zlatá</v>
      </c>
      <c r="C840" s="185">
        <f t="shared" si="27"/>
        <v>7.6506400000000001</v>
      </c>
      <c r="D840" s="409" t="s">
        <v>3330</v>
      </c>
      <c r="E840" s="409" t="s">
        <v>5452</v>
      </c>
      <c r="F840" s="409" t="s">
        <v>1134</v>
      </c>
      <c r="G840" s="409" t="s">
        <v>5453</v>
      </c>
      <c r="H840" s="465">
        <v>212.78190000000001</v>
      </c>
      <c r="I840" s="465">
        <v>7.6506400000000001</v>
      </c>
      <c r="J840" s="465">
        <v>26.30864</v>
      </c>
      <c r="K840" s="465">
        <v>3049.2647999999999</v>
      </c>
      <c r="L840" s="464" t="s">
        <v>538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maska Elegant II 6m oliva</v>
      </c>
      <c r="C841" s="185">
        <f t="shared" si="27"/>
        <v>11.31983</v>
      </c>
      <c r="D841" s="409" t="s">
        <v>3372</v>
      </c>
      <c r="E841" s="409" t="s">
        <v>5454</v>
      </c>
      <c r="F841" s="409" t="s">
        <v>3372</v>
      </c>
      <c r="G841" s="409" t="s">
        <v>5455</v>
      </c>
      <c r="H841" s="465">
        <v>314.83039000000002</v>
      </c>
      <c r="I841" s="465">
        <v>11.31983</v>
      </c>
      <c r="J841" s="465">
        <v>38.926020000000001</v>
      </c>
      <c r="K841" s="465">
        <v>4511.6677399999999</v>
      </c>
      <c r="L841" s="464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maska Elegant II 6m strieborná</v>
      </c>
      <c r="C842" s="185">
        <f t="shared" si="27"/>
        <v>9.0558599999999991</v>
      </c>
      <c r="D842" s="409" t="s">
        <v>3371</v>
      </c>
      <c r="E842" s="409" t="s">
        <v>5456</v>
      </c>
      <c r="F842" s="409" t="s">
        <v>5457</v>
      </c>
      <c r="G842" s="409" t="s">
        <v>5458</v>
      </c>
      <c r="H842" s="465">
        <v>251.86429999999999</v>
      </c>
      <c r="I842" s="465">
        <v>9.0558599999999991</v>
      </c>
      <c r="J842" s="465">
        <v>33.160200000000003</v>
      </c>
      <c r="K842" s="465">
        <v>3609.3341099999998</v>
      </c>
      <c r="L842" s="464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maska ??Elegant II 6m zlatá</v>
      </c>
      <c r="C843" s="185">
        <f t="shared" si="27"/>
        <v>11.31983</v>
      </c>
      <c r="D843" s="409" t="s">
        <v>3331</v>
      </c>
      <c r="E843" s="409" t="s">
        <v>5459</v>
      </c>
      <c r="F843" s="409" t="s">
        <v>5460</v>
      </c>
      <c r="G843" s="409" t="s">
        <v>5461</v>
      </c>
      <c r="H843" s="465">
        <v>314.83039000000002</v>
      </c>
      <c r="I843" s="465">
        <v>11.31983</v>
      </c>
      <c r="J843" s="465">
        <v>38.926020000000001</v>
      </c>
      <c r="K843" s="465">
        <v>4511.6677399999999</v>
      </c>
      <c r="L843" s="464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9" t="e">
        <v>#N/A</v>
      </c>
      <c r="E844" s="409" t="e">
        <v>#N/A</v>
      </c>
      <c r="F844" s="409" t="e">
        <v>#N/A</v>
      </c>
      <c r="G844" s="409" t="e">
        <v>#N/A</v>
      </c>
      <c r="H844" s="465" t="e">
        <v>#N/A</v>
      </c>
      <c r="I844" s="465" t="e">
        <v>#N/A</v>
      </c>
      <c r="J844" s="465" t="e">
        <v>#N/A</v>
      </c>
      <c r="K844" s="465" t="e">
        <v>#N/A</v>
      </c>
      <c r="L844" s="464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sada kovania pre 1 krídlo</v>
      </c>
      <c r="C845" s="185">
        <f t="shared" si="27"/>
        <v>6.3495100000000004</v>
      </c>
      <c r="D845" s="409" t="s">
        <v>2772</v>
      </c>
      <c r="E845" s="409" t="s">
        <v>5462</v>
      </c>
      <c r="F845" s="409" t="s">
        <v>5463</v>
      </c>
      <c r="G845" s="409" t="s">
        <v>5464</v>
      </c>
      <c r="H845" s="465">
        <v>176.59450000000001</v>
      </c>
      <c r="I845" s="465">
        <v>6.3495100000000004</v>
      </c>
      <c r="J845" s="465">
        <v>25.214400000000001</v>
      </c>
      <c r="K845" s="465">
        <v>2530.6823199999999</v>
      </c>
      <c r="L845" s="464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Pax spodná krycia lišta 3m 4mm strieborná</v>
      </c>
      <c r="C846" s="185">
        <f t="shared" si="27"/>
        <v>26.022600000000001</v>
      </c>
      <c r="D846" s="409" t="s">
        <v>3226</v>
      </c>
      <c r="E846" s="409" t="s">
        <v>5465</v>
      </c>
      <c r="F846" s="409" t="s">
        <v>5466</v>
      </c>
      <c r="G846" s="409" t="s">
        <v>5467</v>
      </c>
      <c r="H846" s="465">
        <v>723.74797999999998</v>
      </c>
      <c r="I846" s="465">
        <v>26.022600000000001</v>
      </c>
      <c r="J846" s="465">
        <v>99.296999999999997</v>
      </c>
      <c r="K846" s="465">
        <v>10371.649520000001</v>
      </c>
      <c r="L846" s="464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Polo úchytová lišta 10mm 2,7m oliva</v>
      </c>
      <c r="C847" s="185">
        <f t="shared" si="27"/>
        <v>15.56151</v>
      </c>
      <c r="D847" s="409" t="s">
        <v>3071</v>
      </c>
      <c r="E847" s="409" t="s">
        <v>5468</v>
      </c>
      <c r="F847" s="409" t="s">
        <v>1115</v>
      </c>
      <c r="G847" s="409" t="s">
        <v>5469</v>
      </c>
      <c r="H847" s="465">
        <v>428.13078000000002</v>
      </c>
      <c r="I847" s="465">
        <v>15.56151</v>
      </c>
      <c r="J847" s="465">
        <v>52.202739999999999</v>
      </c>
      <c r="K847" s="465">
        <v>6327.7980399999997</v>
      </c>
      <c r="L847" s="464" t="s">
        <v>695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pozicionér Simple Start</v>
      </c>
      <c r="C848" s="185">
        <f t="shared" si="27"/>
        <v>0.23419999999999999</v>
      </c>
      <c r="D848" s="409" t="s">
        <v>3286</v>
      </c>
      <c r="E848" s="409" t="s">
        <v>5470</v>
      </c>
      <c r="F848" s="409" t="s">
        <v>3286</v>
      </c>
      <c r="G848" s="409" t="s">
        <v>5471</v>
      </c>
      <c r="H848" s="465">
        <v>61.570659999999997</v>
      </c>
      <c r="I848" s="465">
        <v>0.23419999999999999</v>
      </c>
      <c r="J848" s="465">
        <v>1.6728000000000001</v>
      </c>
      <c r="K848" s="465">
        <v>910.01793999999995</v>
      </c>
      <c r="L848" s="464" t="s">
        <v>539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protiprach.kartáč zásuvný 4,8x13mm</v>
      </c>
      <c r="C849" s="185">
        <f t="shared" si="27"/>
        <v>0.20741000000000001</v>
      </c>
      <c r="D849" s="409" t="s">
        <v>2707</v>
      </c>
      <c r="E849" s="409" t="s">
        <v>5472</v>
      </c>
      <c r="F849" s="409" t="s">
        <v>1213</v>
      </c>
      <c r="G849" s="409" t="s">
        <v>5473</v>
      </c>
      <c r="H849" s="465">
        <v>6.3811799999999996</v>
      </c>
      <c r="I849" s="465">
        <v>0.20741000000000001</v>
      </c>
      <c r="J849" s="465">
        <v>0.80579999999999996</v>
      </c>
      <c r="K849" s="465">
        <v>61.753349999999998</v>
      </c>
      <c r="L849" s="464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úchytová lišta 18mm 2,70m oliva</v>
      </c>
      <c r="C850" s="185">
        <f t="shared" si="27"/>
        <v>15.587540000000001</v>
      </c>
      <c r="D850" s="409" t="s">
        <v>3346</v>
      </c>
      <c r="E850" s="409" t="s">
        <v>5474</v>
      </c>
      <c r="F850" s="409" t="s">
        <v>3346</v>
      </c>
      <c r="G850" s="409" t="s">
        <v>5475</v>
      </c>
      <c r="H850" s="465">
        <v>428.84672</v>
      </c>
      <c r="I850" s="465">
        <v>15.587540000000001</v>
      </c>
      <c r="J850" s="465">
        <v>58.838009999999997</v>
      </c>
      <c r="K850" s="465">
        <v>6338.3796000000002</v>
      </c>
      <c r="L850" s="464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SMART spodné vedenia 1,7 M OLIVA</v>
      </c>
      <c r="C851" s="185">
        <f t="shared" si="27"/>
        <v>4.73611</v>
      </c>
      <c r="D851" s="409" t="s">
        <v>2731</v>
      </c>
      <c r="E851" s="409" t="s">
        <v>5476</v>
      </c>
      <c r="F851" s="409" t="s">
        <v>5477</v>
      </c>
      <c r="G851" s="409" t="s">
        <v>5478</v>
      </c>
      <c r="H851" s="465">
        <v>131.72212999999999</v>
      </c>
      <c r="I851" s="465">
        <v>4.73611</v>
      </c>
      <c r="J851" s="465">
        <v>16.360800000000001</v>
      </c>
      <c r="K851" s="465">
        <v>1887.64012</v>
      </c>
      <c r="L851" s="464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SMART spodné vedenia 2,35M OLIVA</v>
      </c>
      <c r="C852" s="185">
        <f t="shared" si="27"/>
        <v>6.5316700000000001</v>
      </c>
      <c r="D852" s="409" t="s">
        <v>2733</v>
      </c>
      <c r="E852" s="409" t="s">
        <v>5479</v>
      </c>
      <c r="F852" s="409" t="s">
        <v>5480</v>
      </c>
      <c r="G852" s="409" t="s">
        <v>5481</v>
      </c>
      <c r="H852" s="465">
        <v>181.66074</v>
      </c>
      <c r="I852" s="465">
        <v>6.5316700000000001</v>
      </c>
      <c r="J852" s="465">
        <v>22.613399999999999</v>
      </c>
      <c r="K852" s="465">
        <v>2603.2839899999999</v>
      </c>
      <c r="L852" s="464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SMART SPODNÉ VEDENIE 3M OLIVA</v>
      </c>
      <c r="C853" s="185">
        <f t="shared" si="27"/>
        <v>8.3012099999999993</v>
      </c>
      <c r="D853" s="409" t="s">
        <v>2735</v>
      </c>
      <c r="E853" s="409" t="s">
        <v>5482</v>
      </c>
      <c r="F853" s="409" t="s">
        <v>5483</v>
      </c>
      <c r="G853" s="409" t="s">
        <v>5484</v>
      </c>
      <c r="H853" s="465">
        <v>230.87560999999999</v>
      </c>
      <c r="I853" s="465">
        <v>8.3012099999999993</v>
      </c>
      <c r="J853" s="465">
        <v>28.855799999999999</v>
      </c>
      <c r="K853" s="465">
        <v>3308.5562300000001</v>
      </c>
      <c r="L853" s="464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SMART SPODNÉ VEDENIE 3M STRIE.</v>
      </c>
      <c r="C854" s="185">
        <f t="shared" si="27"/>
        <v>6.7919</v>
      </c>
      <c r="D854" s="409" t="s">
        <v>2736</v>
      </c>
      <c r="E854" s="409" t="s">
        <v>5485</v>
      </c>
      <c r="F854" s="409" t="s">
        <v>5486</v>
      </c>
      <c r="G854" s="409" t="s">
        <v>5487</v>
      </c>
      <c r="H854" s="465">
        <v>188.89822000000001</v>
      </c>
      <c r="I854" s="465">
        <v>6.7919</v>
      </c>
      <c r="J854" s="465">
        <v>25.1022</v>
      </c>
      <c r="K854" s="465">
        <v>2707.0004800000002</v>
      </c>
      <c r="L854" s="464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spodná krycia lišta 1,7m 10mm biela lesk</v>
      </c>
      <c r="C855" s="185">
        <f t="shared" si="27"/>
        <v>19.048539999999999</v>
      </c>
      <c r="D855" s="409" t="s">
        <v>3212</v>
      </c>
      <c r="E855" s="409" t="s">
        <v>5488</v>
      </c>
      <c r="F855" s="409" t="s">
        <v>5489</v>
      </c>
      <c r="G855" s="409" t="s">
        <v>5490</v>
      </c>
      <c r="H855" s="465">
        <v>529.78351999999995</v>
      </c>
      <c r="I855" s="465">
        <v>19.048539999999999</v>
      </c>
      <c r="J855" s="465">
        <v>70.369799999999998</v>
      </c>
      <c r="K855" s="465">
        <v>7592.0473700000002</v>
      </c>
      <c r="L855" s="464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spodná krycia lišta 1,7m 10mm čierna kartáčovaná</v>
      </c>
      <c r="C856" s="185">
        <f t="shared" si="27"/>
        <v>22.27535</v>
      </c>
      <c r="D856" s="409" t="s">
        <v>2979</v>
      </c>
      <c r="E856" s="409" t="s">
        <v>5491</v>
      </c>
      <c r="F856" s="409" t="s">
        <v>5492</v>
      </c>
      <c r="G856" s="409" t="s">
        <v>5493</v>
      </c>
      <c r="H856" s="465">
        <v>619.52828</v>
      </c>
      <c r="I856" s="465">
        <v>22.27535</v>
      </c>
      <c r="J856" s="465">
        <v>76.599260000000001</v>
      </c>
      <c r="K856" s="465">
        <v>8878.1321399999997</v>
      </c>
      <c r="L856" s="464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spodná krycia lišta 1,7m 10mm oliva</v>
      </c>
      <c r="C857" s="185">
        <f t="shared" si="27"/>
        <v>17.929569999999998</v>
      </c>
      <c r="D857" s="409" t="s">
        <v>2662</v>
      </c>
      <c r="E857" s="409" t="s">
        <v>5494</v>
      </c>
      <c r="F857" s="409" t="s">
        <v>5495</v>
      </c>
      <c r="G857" s="409" t="s">
        <v>5496</v>
      </c>
      <c r="H857" s="465">
        <v>498.66235999999998</v>
      </c>
      <c r="I857" s="465">
        <v>17.929569999999998</v>
      </c>
      <c r="J857" s="465">
        <v>61.655250000000002</v>
      </c>
      <c r="K857" s="465">
        <v>7146.06657</v>
      </c>
      <c r="L857" s="464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spod. krycia lišta 1,7m 10mm oliva kartáč</v>
      </c>
      <c r="C858" s="185">
        <f t="shared" si="27"/>
        <v>22.27535</v>
      </c>
      <c r="D858" s="409" t="s">
        <v>2817</v>
      </c>
      <c r="E858" s="409" t="s">
        <v>5497</v>
      </c>
      <c r="F858" s="409" t="s">
        <v>5498</v>
      </c>
      <c r="G858" s="409" t="s">
        <v>5499</v>
      </c>
      <c r="H858" s="465">
        <v>619.52828</v>
      </c>
      <c r="I858" s="465">
        <v>22.27535</v>
      </c>
      <c r="J858" s="465">
        <v>76.599260000000001</v>
      </c>
      <c r="K858" s="465">
        <v>8878.1321399999997</v>
      </c>
      <c r="L858" s="464" t="s">
        <v>538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spodná krycia lišta 1,7m 10mm strieborná</v>
      </c>
      <c r="C859" s="185">
        <f t="shared" si="27"/>
        <v>14.65072</v>
      </c>
      <c r="D859" s="409" t="s">
        <v>2661</v>
      </c>
      <c r="E859" s="409" t="s">
        <v>5500</v>
      </c>
      <c r="F859" s="409" t="s">
        <v>5501</v>
      </c>
      <c r="G859" s="409" t="s">
        <v>5502</v>
      </c>
      <c r="H859" s="465">
        <v>407.4701</v>
      </c>
      <c r="I859" s="465">
        <v>14.65072</v>
      </c>
      <c r="J859" s="465">
        <v>54.141599999999997</v>
      </c>
      <c r="K859" s="465">
        <v>5839.23855</v>
      </c>
      <c r="L859" s="464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spodná krycia lišta 1,7m 10mm zlatá</v>
      </c>
      <c r="C860" s="185">
        <f t="shared" si="27"/>
        <v>17.929569999999998</v>
      </c>
      <c r="D860" s="409" t="s">
        <v>2681</v>
      </c>
      <c r="E860" s="409" t="s">
        <v>5503</v>
      </c>
      <c r="F860" s="409" t="s">
        <v>5504</v>
      </c>
      <c r="G860" s="409" t="s">
        <v>5505</v>
      </c>
      <c r="H860" s="465">
        <v>498.66235999999998</v>
      </c>
      <c r="I860" s="465">
        <v>17.929569999999998</v>
      </c>
      <c r="J860" s="465">
        <v>61.655250000000002</v>
      </c>
      <c r="K860" s="465">
        <v>7146.06657</v>
      </c>
      <c r="L860" s="464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spodná krycia lišta 2,35m 10mm biela lesk</v>
      </c>
      <c r="C861" s="185">
        <f t="shared" si="27"/>
        <v>26.30885</v>
      </c>
      <c r="D861" s="409" t="s">
        <v>3207</v>
      </c>
      <c r="E861" s="409" t="s">
        <v>5506</v>
      </c>
      <c r="F861" s="409" t="s">
        <v>5507</v>
      </c>
      <c r="G861" s="409" t="s">
        <v>5508</v>
      </c>
      <c r="H861" s="465">
        <v>731.70920999999998</v>
      </c>
      <c r="I861" s="465">
        <v>26.30885</v>
      </c>
      <c r="J861" s="465">
        <v>97.287599999999998</v>
      </c>
      <c r="K861" s="465">
        <v>10485.73761</v>
      </c>
      <c r="L861" s="464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spodná krycia lišta 2,35m 10mm oliva</v>
      </c>
      <c r="C862" s="185">
        <f t="shared" si="27"/>
        <v>24.72147</v>
      </c>
      <c r="D862" s="409" t="s">
        <v>2660</v>
      </c>
      <c r="E862" s="409" t="s">
        <v>5509</v>
      </c>
      <c r="F862" s="409" t="s">
        <v>5510</v>
      </c>
      <c r="G862" s="409" t="s">
        <v>5511</v>
      </c>
      <c r="H862" s="465">
        <v>687.56057999999996</v>
      </c>
      <c r="I862" s="465">
        <v>24.72147</v>
      </c>
      <c r="J862" s="465">
        <v>85.010859999999994</v>
      </c>
      <c r="K862" s="465">
        <v>9853.0670499999997</v>
      </c>
      <c r="L862" s="464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spod.krycia lišta 2,35m 10mm oliva kartáč</v>
      </c>
      <c r="C863" s="185">
        <f t="shared" si="27"/>
        <v>30.836780000000001</v>
      </c>
      <c r="D863" s="409" t="s">
        <v>2818</v>
      </c>
      <c r="E863" s="409" t="s">
        <v>5512</v>
      </c>
      <c r="F863" s="409" t="s">
        <v>5513</v>
      </c>
      <c r="G863" s="409" t="s">
        <v>5514</v>
      </c>
      <c r="H863" s="465">
        <v>857.64137000000005</v>
      </c>
      <c r="I863" s="465">
        <v>30.836780000000001</v>
      </c>
      <c r="J863" s="465">
        <v>106.03986999999999</v>
      </c>
      <c r="K863" s="465">
        <v>12290.40488</v>
      </c>
      <c r="L863" s="464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spodná krycia lišta 2,35m 10mm strieborná</v>
      </c>
      <c r="C864" s="185">
        <f t="shared" si="27"/>
        <v>20.24558</v>
      </c>
      <c r="D864" s="409" t="s">
        <v>2659</v>
      </c>
      <c r="E864" s="409" t="s">
        <v>5515</v>
      </c>
      <c r="F864" s="409" t="s">
        <v>5516</v>
      </c>
      <c r="G864" s="409" t="s">
        <v>5517</v>
      </c>
      <c r="H864" s="465">
        <v>563.07592999999997</v>
      </c>
      <c r="I864" s="465">
        <v>20.24558</v>
      </c>
      <c r="J864" s="465">
        <v>74.827200000000005</v>
      </c>
      <c r="K864" s="465">
        <v>8069.1434099999997</v>
      </c>
      <c r="L864" s="464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spod.krycia lišta 2,35m, 10mm čierna kartá</v>
      </c>
      <c r="C865" s="185">
        <f t="shared" si="27"/>
        <v>30.836780000000001</v>
      </c>
      <c r="D865" s="409" t="s">
        <v>2981</v>
      </c>
      <c r="E865" s="409" t="s">
        <v>5518</v>
      </c>
      <c r="F865" s="409" t="s">
        <v>5519</v>
      </c>
      <c r="G865" s="409" t="s">
        <v>5520</v>
      </c>
      <c r="H865" s="465">
        <v>857.64137000000005</v>
      </c>
      <c r="I865" s="465">
        <v>30.836780000000001</v>
      </c>
      <c r="J865" s="465">
        <v>106.03986999999999</v>
      </c>
      <c r="K865" s="465">
        <v>12290.40488</v>
      </c>
      <c r="L865" s="464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spodná krycia lišta 3m 10mm biela lesk</v>
      </c>
      <c r="C866" s="185">
        <f t="shared" si="27"/>
        <v>33.67324</v>
      </c>
      <c r="D866" s="409" t="s">
        <v>3204</v>
      </c>
      <c r="E866" s="409" t="s">
        <v>5521</v>
      </c>
      <c r="F866" s="409" t="s">
        <v>5522</v>
      </c>
      <c r="G866" s="409" t="s">
        <v>5523</v>
      </c>
      <c r="H866" s="465">
        <v>936.52988000000005</v>
      </c>
      <c r="I866" s="465">
        <v>33.67324</v>
      </c>
      <c r="J866" s="465">
        <v>124.22580000000001</v>
      </c>
      <c r="K866" s="465">
        <v>13420.91432</v>
      </c>
      <c r="L866" s="464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spod.krycia lišta 3m 10mm čierna kartáč</v>
      </c>
      <c r="C867" s="185">
        <f t="shared" si="27"/>
        <v>39.398220000000002</v>
      </c>
      <c r="D867" s="409" t="s">
        <v>2983</v>
      </c>
      <c r="E867" s="409" t="s">
        <v>5524</v>
      </c>
      <c r="F867" s="409" t="s">
        <v>5525</v>
      </c>
      <c r="G867" s="409" t="s">
        <v>5526</v>
      </c>
      <c r="H867" s="465">
        <v>1095.75443</v>
      </c>
      <c r="I867" s="465">
        <v>39.398220000000002</v>
      </c>
      <c r="J867" s="465">
        <v>135.48047</v>
      </c>
      <c r="K867" s="465">
        <v>15702.6772</v>
      </c>
      <c r="L867" s="464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spodná krycia lišta 3m 10mm oliva</v>
      </c>
      <c r="C868" s="185">
        <f t="shared" si="27"/>
        <v>31.64348</v>
      </c>
      <c r="D868" s="409" t="s">
        <v>2658</v>
      </c>
      <c r="E868" s="409" t="s">
        <v>5527</v>
      </c>
      <c r="F868" s="409" t="s">
        <v>5528</v>
      </c>
      <c r="G868" s="409" t="s">
        <v>5529</v>
      </c>
      <c r="H868" s="465">
        <v>880.07754999999997</v>
      </c>
      <c r="I868" s="465">
        <v>31.64348</v>
      </c>
      <c r="J868" s="465">
        <v>108.81391000000001</v>
      </c>
      <c r="K868" s="465">
        <v>12611.92596</v>
      </c>
      <c r="L868" s="464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spod.krycia lišta 3m 10mm oliva kartáč.</v>
      </c>
      <c r="C869" s="185">
        <f t="shared" si="27"/>
        <v>39.398220000000002</v>
      </c>
      <c r="D869" s="409" t="s">
        <v>2819</v>
      </c>
      <c r="E869" s="409" t="s">
        <v>5530</v>
      </c>
      <c r="F869" s="409" t="s">
        <v>5531</v>
      </c>
      <c r="G869" s="409" t="s">
        <v>5532</v>
      </c>
      <c r="H869" s="465">
        <v>1095.75443</v>
      </c>
      <c r="I869" s="465">
        <v>39.398220000000002</v>
      </c>
      <c r="J869" s="465">
        <v>135.48047</v>
      </c>
      <c r="K869" s="465">
        <v>15702.6772</v>
      </c>
      <c r="L869" s="464" t="s">
        <v>538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spodná krycia lišta 3m 10mm strieborná</v>
      </c>
      <c r="C870" s="185">
        <f t="shared" si="27"/>
        <v>25.892489999999999</v>
      </c>
      <c r="D870" s="409" t="s">
        <v>2657</v>
      </c>
      <c r="E870" s="409" t="s">
        <v>5533</v>
      </c>
      <c r="F870" s="409" t="s">
        <v>5534</v>
      </c>
      <c r="G870" s="409" t="s">
        <v>5535</v>
      </c>
      <c r="H870" s="465">
        <v>720.12924999999996</v>
      </c>
      <c r="I870" s="465">
        <v>25.892489999999999</v>
      </c>
      <c r="J870" s="465">
        <v>95.563800000000001</v>
      </c>
      <c r="K870" s="465">
        <v>10319.79148</v>
      </c>
      <c r="L870" s="464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spodná krycia lišta 3m 10mm zlatá</v>
      </c>
      <c r="C871" s="185">
        <f t="shared" si="27"/>
        <v>31.64348</v>
      </c>
      <c r="D871" s="409" t="s">
        <v>2682</v>
      </c>
      <c r="E871" s="409" t="s">
        <v>5536</v>
      </c>
      <c r="F871" s="409" t="s">
        <v>5537</v>
      </c>
      <c r="G871" s="409" t="s">
        <v>5538</v>
      </c>
      <c r="H871" s="465">
        <v>880.07754999999997</v>
      </c>
      <c r="I871" s="465">
        <v>31.64348</v>
      </c>
      <c r="J871" s="465">
        <v>108.81391000000001</v>
      </c>
      <c r="K871" s="465">
        <v>12611.92596</v>
      </c>
      <c r="L871" s="464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spodná krycia lišta Simple/Blue 3m (pre lamino 10mm) oliva</v>
      </c>
      <c r="C872" s="185">
        <f t="shared" si="27"/>
        <v>23.264199999999999</v>
      </c>
      <c r="D872" s="409" t="s">
        <v>3078</v>
      </c>
      <c r="E872" s="409" t="s">
        <v>5539</v>
      </c>
      <c r="F872" s="409" t="s">
        <v>5540</v>
      </c>
      <c r="G872" s="409" t="s">
        <v>5541</v>
      </c>
      <c r="H872" s="465">
        <v>640.04834000000005</v>
      </c>
      <c r="I872" s="465">
        <v>23.264199999999999</v>
      </c>
      <c r="J872" s="465">
        <v>78.802019999999999</v>
      </c>
      <c r="K872" s="465">
        <v>9459.9519600000003</v>
      </c>
      <c r="L872" s="464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spodná krycia lišta Simple/Blue 3m (pre lamino 10mm) strieborná</v>
      </c>
      <c r="C873" s="185">
        <f t="shared" si="27"/>
        <v>19.568999999999999</v>
      </c>
      <c r="D873" s="409" t="s">
        <v>3032</v>
      </c>
      <c r="E873" s="409" t="s">
        <v>5542</v>
      </c>
      <c r="F873" s="409" t="s">
        <v>5543</v>
      </c>
      <c r="G873" s="409" t="s">
        <v>5544</v>
      </c>
      <c r="H873" s="465">
        <v>538.38517999999999</v>
      </c>
      <c r="I873" s="465">
        <v>19.568999999999999</v>
      </c>
      <c r="J873" s="465">
        <v>68.544700000000006</v>
      </c>
      <c r="K873" s="465">
        <v>7957.3645900000001</v>
      </c>
      <c r="L873" s="464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9" t="e">
        <v>#N/A</v>
      </c>
      <c r="E874" s="409" t="e">
        <v>#N/A</v>
      </c>
      <c r="F874" s="409" t="e">
        <v>#N/A</v>
      </c>
      <c r="G874" s="409" t="e">
        <v>#N/A</v>
      </c>
      <c r="H874" s="465" t="e">
        <v>#N/A</v>
      </c>
      <c r="I874" s="465" t="e">
        <v>#N/A</v>
      </c>
      <c r="J874" s="465" t="e">
        <v>#N/A</v>
      </c>
      <c r="K874" s="465" t="e">
        <v>#N/A</v>
      </c>
      <c r="L874" s="464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spodná krycia lišta Simple/Blue 1,5m (pre lamino 18mm) strieborná</v>
      </c>
      <c r="C875" s="185">
        <f t="shared" si="27"/>
        <v>10.12279</v>
      </c>
      <c r="D875" s="409" t="s">
        <v>3107</v>
      </c>
      <c r="E875" s="409" t="s">
        <v>5545</v>
      </c>
      <c r="F875" s="409" t="s">
        <v>5546</v>
      </c>
      <c r="G875" s="409" t="s">
        <v>5547</v>
      </c>
      <c r="H875" s="465">
        <v>278.49979000000002</v>
      </c>
      <c r="I875" s="465">
        <v>10.12279</v>
      </c>
      <c r="J875" s="465">
        <v>48.17165</v>
      </c>
      <c r="K875" s="465">
        <v>4116.2431999999999</v>
      </c>
      <c r="L875" s="464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spodná krycia lišta Simple/Blue 2,5m (pre lamino 18mm) oliva</v>
      </c>
      <c r="C876" s="185">
        <f t="shared" si="27"/>
        <v>0</v>
      </c>
      <c r="D876" s="409" t="s">
        <v>3111</v>
      </c>
      <c r="E876" s="409" t="s">
        <v>5548</v>
      </c>
      <c r="F876" s="409" t="s">
        <v>5549</v>
      </c>
      <c r="G876" s="409" t="s">
        <v>5550</v>
      </c>
      <c r="H876" s="465">
        <v>0</v>
      </c>
      <c r="I876" s="465">
        <v>0</v>
      </c>
      <c r="J876" s="465">
        <v>58.638979999999997</v>
      </c>
      <c r="K876" s="465">
        <v>0</v>
      </c>
      <c r="L876" s="464" t="s">
        <v>539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spodná krycia lišta Simple/Blue 2,5m (pre lamino 18mm) strieborná</v>
      </c>
      <c r="C877" s="185">
        <f t="shared" si="27"/>
        <v>16.862639999999999</v>
      </c>
      <c r="D877" s="409" t="s">
        <v>3109</v>
      </c>
      <c r="E877" s="409" t="s">
        <v>5551</v>
      </c>
      <c r="F877" s="409" t="s">
        <v>5552</v>
      </c>
      <c r="G877" s="409" t="s">
        <v>5553</v>
      </c>
      <c r="H877" s="465">
        <v>463.92766999999998</v>
      </c>
      <c r="I877" s="465">
        <v>16.862639999999999</v>
      </c>
      <c r="J877" s="465">
        <v>80.296570000000003</v>
      </c>
      <c r="K877" s="465">
        <v>6856.8781399999998</v>
      </c>
      <c r="L877" s="464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spodná krycia lišta Simple/Blue 2m (pre lamino 18mm) oliva</v>
      </c>
      <c r="C878" s="185">
        <f t="shared" si="27"/>
        <v>16.706510000000002</v>
      </c>
      <c r="D878" s="409" t="s">
        <v>3110</v>
      </c>
      <c r="E878" s="409" t="s">
        <v>5554</v>
      </c>
      <c r="F878" s="409" t="s">
        <v>5555</v>
      </c>
      <c r="G878" s="409" t="s">
        <v>5556</v>
      </c>
      <c r="H878" s="465">
        <v>459.63202999999999</v>
      </c>
      <c r="I878" s="465">
        <v>16.706510000000002</v>
      </c>
      <c r="J878" s="465">
        <v>72.241739999999993</v>
      </c>
      <c r="K878" s="465">
        <v>6793.3883599999999</v>
      </c>
      <c r="L878" s="464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spodná krycia lišta Simple/Blue 2m (pre lamino 18mm) strieborná</v>
      </c>
      <c r="C879" s="185">
        <f t="shared" si="27"/>
        <v>13.479710000000001</v>
      </c>
      <c r="D879" s="409" t="s">
        <v>3108</v>
      </c>
      <c r="E879" s="409" t="s">
        <v>5557</v>
      </c>
      <c r="F879" s="409" t="s">
        <v>5558</v>
      </c>
      <c r="G879" s="409" t="s">
        <v>5559</v>
      </c>
      <c r="H879" s="465">
        <v>370.85575999999998</v>
      </c>
      <c r="I879" s="465">
        <v>13.479710000000001</v>
      </c>
      <c r="J879" s="465">
        <v>64.234110000000001</v>
      </c>
      <c r="K879" s="465">
        <v>5481.2698899999996</v>
      </c>
      <c r="L879" s="464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spodná krycia lišta Simple/Blue 3m (pre lamino 18mm) oliva</v>
      </c>
      <c r="C880" s="185">
        <f t="shared" si="27"/>
        <v>25.059760000000001</v>
      </c>
      <c r="D880" s="409" t="s">
        <v>3076</v>
      </c>
      <c r="E880" s="409" t="s">
        <v>5560</v>
      </c>
      <c r="F880" s="409" t="s">
        <v>5561</v>
      </c>
      <c r="G880" s="409" t="s">
        <v>5562</v>
      </c>
      <c r="H880" s="465">
        <v>689.44804999999997</v>
      </c>
      <c r="I880" s="465">
        <v>25.059760000000001</v>
      </c>
      <c r="J880" s="465">
        <v>108.34688</v>
      </c>
      <c r="K880" s="465">
        <v>10190.082549999999</v>
      </c>
      <c r="L880" s="464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spodná krycia lišta Simple/Blue 3m (pre lamino 18mm) strieborná</v>
      </c>
      <c r="C881" s="185">
        <f t="shared" si="27"/>
        <v>20.219560000000001</v>
      </c>
      <c r="D881" s="409" t="s">
        <v>3030</v>
      </c>
      <c r="E881" s="409" t="s">
        <v>5563</v>
      </c>
      <c r="F881" s="409" t="s">
        <v>5564</v>
      </c>
      <c r="G881" s="409" t="s">
        <v>2382</v>
      </c>
      <c r="H881" s="465">
        <v>556.28363999999999</v>
      </c>
      <c r="I881" s="465">
        <v>20.219560000000001</v>
      </c>
      <c r="J881" s="465">
        <v>96.374769999999998</v>
      </c>
      <c r="K881" s="465">
        <v>8221.9048399999992</v>
      </c>
      <c r="L881" s="464" t="s">
        <v>695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9" t="e">
        <v>#N/A</v>
      </c>
      <c r="E882" s="409" t="e">
        <v>#N/A</v>
      </c>
      <c r="F882" s="409" t="e">
        <v>#N/A</v>
      </c>
      <c r="G882" s="409" t="e">
        <v>#N/A</v>
      </c>
      <c r="H882" s="465" t="e">
        <v>#N/A</v>
      </c>
      <c r="I882" s="465" t="e">
        <v>#N/A</v>
      </c>
      <c r="J882" s="465" t="e">
        <v>#N/A</v>
      </c>
      <c r="K882" s="465" t="e">
        <v>#N/A</v>
      </c>
      <c r="L882" s="464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spodný vozík Simple/Blue V (rámový systém) - 2ks</v>
      </c>
      <c r="C883" s="185">
        <f t="shared" si="27"/>
        <v>2.73237</v>
      </c>
      <c r="D883" s="409" t="s">
        <v>3159</v>
      </c>
      <c r="E883" s="409" t="s">
        <v>5565</v>
      </c>
      <c r="F883" s="409" t="s">
        <v>5566</v>
      </c>
      <c r="G883" s="409" t="s">
        <v>5567</v>
      </c>
      <c r="H883" s="465">
        <v>80.640640000000005</v>
      </c>
      <c r="I883" s="465">
        <v>2.73237</v>
      </c>
      <c r="J883" s="465">
        <v>16.17259</v>
      </c>
      <c r="K883" s="465">
        <v>1119.8864100000001</v>
      </c>
      <c r="L883" s="464" t="s">
        <v>695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9" t="e">
        <v>#N/A</v>
      </c>
      <c r="E884" s="409" t="e">
        <v>#N/A</v>
      </c>
      <c r="F884" s="409" t="e">
        <v>#N/A</v>
      </c>
      <c r="G884" s="409" t="e">
        <v>#N/A</v>
      </c>
      <c r="H884" s="465" t="e">
        <v>#N/A</v>
      </c>
      <c r="I884" s="465" t="e">
        <v>#N/A</v>
      </c>
      <c r="J884" s="465" t="e">
        <v>#N/A</v>
      </c>
      <c r="K884" s="465" t="e">
        <v>#N/A</v>
      </c>
      <c r="L884" s="464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spodný vozík WD10 V 2ks bez pozicionéru</v>
      </c>
      <c r="C885" s="185">
        <f t="shared" si="27"/>
        <v>6.0112199999999998</v>
      </c>
      <c r="D885" s="409" t="s">
        <v>3340</v>
      </c>
      <c r="E885" s="409" t="s">
        <v>5568</v>
      </c>
      <c r="F885" s="409" t="s">
        <v>5569</v>
      </c>
      <c r="G885" s="409" t="s">
        <v>5570</v>
      </c>
      <c r="H885" s="465">
        <v>177.40937</v>
      </c>
      <c r="I885" s="465">
        <v>6.0112199999999998</v>
      </c>
      <c r="J885" s="465">
        <v>26.52</v>
      </c>
      <c r="K885" s="465">
        <v>2463.7496099999998</v>
      </c>
      <c r="L885" s="464" t="s">
        <v>695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9" t="e">
        <v>#N/A</v>
      </c>
      <c r="E886" s="409" t="e">
        <v>#N/A</v>
      </c>
      <c r="F886" s="409" t="e">
        <v>#N/A</v>
      </c>
      <c r="G886" s="409" t="e">
        <v>#N/A</v>
      </c>
      <c r="H886" s="465" t="e">
        <v>#N/A</v>
      </c>
      <c r="I886" s="465" t="e">
        <v>#N/A</v>
      </c>
      <c r="J886" s="465" t="e">
        <v>#N/A</v>
      </c>
      <c r="K886" s="465" t="e">
        <v>#N/A</v>
      </c>
      <c r="L886" s="464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spodný vozík WD18V (2x vozík+pozic.) s pružinou</v>
      </c>
      <c r="C887" s="185">
        <f t="shared" si="27"/>
        <v>0</v>
      </c>
      <c r="D887" s="409" t="s">
        <v>3153</v>
      </c>
      <c r="E887" s="409" t="s">
        <v>5571</v>
      </c>
      <c r="F887" s="409" t="s">
        <v>5572</v>
      </c>
      <c r="G887" s="409" t="s">
        <v>5573</v>
      </c>
      <c r="H887" s="465">
        <v>0</v>
      </c>
      <c r="I887" s="465">
        <v>0</v>
      </c>
      <c r="J887" s="465">
        <v>14.272180000000001</v>
      </c>
      <c r="K887" s="465">
        <v>0</v>
      </c>
      <c r="L887" s="464" t="s">
        <v>540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sp.kryc.lišta 2,35m oliva tm.kartáč</v>
      </c>
      <c r="C888" s="185">
        <f t="shared" si="27"/>
        <v>30.836780000000001</v>
      </c>
      <c r="D888" s="409" t="s">
        <v>2980</v>
      </c>
      <c r="E888" s="409" t="s">
        <v>5574</v>
      </c>
      <c r="F888" s="409" t="s">
        <v>1102</v>
      </c>
      <c r="G888" s="409" t="s">
        <v>5575</v>
      </c>
      <c r="H888" s="465">
        <v>857.64137000000005</v>
      </c>
      <c r="I888" s="465">
        <v>30.836780000000001</v>
      </c>
      <c r="J888" s="465">
        <v>106.03986999999999</v>
      </c>
      <c r="K888" s="465">
        <v>12290.40488</v>
      </c>
      <c r="L888" s="464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spojovacia lišta H10 Decor 3m strieb</v>
      </c>
      <c r="C889" s="185">
        <f t="shared" si="27"/>
        <v>13.32357</v>
      </c>
      <c r="D889" s="409" t="s">
        <v>3005</v>
      </c>
      <c r="E889" s="409" t="s">
        <v>5576</v>
      </c>
      <c r="F889" s="409" t="s">
        <v>1206</v>
      </c>
      <c r="G889" s="409" t="s">
        <v>5577</v>
      </c>
      <c r="H889" s="465">
        <v>370.55896000000001</v>
      </c>
      <c r="I889" s="465">
        <v>13.32357</v>
      </c>
      <c r="J889" s="465">
        <v>48.042000000000002</v>
      </c>
      <c r="K889" s="465">
        <v>5310.2844699999996</v>
      </c>
      <c r="L889" s="464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spojovacia lišta H18 3m biela lesk</v>
      </c>
      <c r="C890" s="185">
        <f t="shared" si="27"/>
        <v>15.587540000000001</v>
      </c>
      <c r="D890" s="409" t="s">
        <v>3194</v>
      </c>
      <c r="E890" s="409" t="s">
        <v>5578</v>
      </c>
      <c r="F890" s="409" t="s">
        <v>5579</v>
      </c>
      <c r="G890" s="409" t="s">
        <v>5580</v>
      </c>
      <c r="H890" s="465">
        <v>433.52503999999999</v>
      </c>
      <c r="I890" s="465">
        <v>15.587540000000001</v>
      </c>
      <c r="J890" s="465">
        <v>62.464799999999997</v>
      </c>
      <c r="K890" s="465">
        <v>6212.6180999999997</v>
      </c>
      <c r="L890" s="464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spoj.lišta H18 3m čierna kartáč</v>
      </c>
      <c r="C891" s="185">
        <f t="shared" si="27"/>
        <v>19.360810000000001</v>
      </c>
      <c r="D891" s="409" t="s">
        <v>3044</v>
      </c>
      <c r="E891" s="409" t="s">
        <v>5581</v>
      </c>
      <c r="F891" s="409" t="s">
        <v>1205</v>
      </c>
      <c r="G891" s="409" t="s">
        <v>5582</v>
      </c>
      <c r="H891" s="465">
        <v>538.46848999999997</v>
      </c>
      <c r="I891" s="465">
        <v>19.360810000000001</v>
      </c>
      <c r="J891" s="465">
        <v>67.391400000000004</v>
      </c>
      <c r="K891" s="465">
        <v>7716.5070900000001</v>
      </c>
      <c r="L891" s="464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spojovacia lišta H18 3m oliva</v>
      </c>
      <c r="C892" s="185">
        <f t="shared" si="27"/>
        <v>14.98902</v>
      </c>
      <c r="D892" s="409" t="s">
        <v>2702</v>
      </c>
      <c r="E892" s="409" t="s">
        <v>5583</v>
      </c>
      <c r="F892" s="409" t="s">
        <v>1204</v>
      </c>
      <c r="G892" s="409" t="s">
        <v>2702</v>
      </c>
      <c r="H892" s="465">
        <v>416.87885</v>
      </c>
      <c r="I892" s="465">
        <v>14.98902</v>
      </c>
      <c r="J892" s="465">
        <v>52.856400000000001</v>
      </c>
      <c r="K892" s="465">
        <v>5974.0702899999997</v>
      </c>
      <c r="L892" s="464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spojovacia lišta H18 3m oliva kartáč</v>
      </c>
      <c r="C893" s="185">
        <f t="shared" si="27"/>
        <v>19.360810000000001</v>
      </c>
      <c r="D893" s="409" t="s">
        <v>2940</v>
      </c>
      <c r="E893" s="409" t="s">
        <v>5584</v>
      </c>
      <c r="F893" s="409" t="s">
        <v>1203</v>
      </c>
      <c r="G893" s="409" t="s">
        <v>5585</v>
      </c>
      <c r="H893" s="465">
        <v>538.46848999999997</v>
      </c>
      <c r="I893" s="465">
        <v>19.360810000000001</v>
      </c>
      <c r="J893" s="465">
        <v>67.391400000000004</v>
      </c>
      <c r="K893" s="465">
        <v>7716.5070900000001</v>
      </c>
      <c r="L893" s="464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spoj.lišta H18 3m oliva tm.kartáč</v>
      </c>
      <c r="C894" s="185">
        <f t="shared" si="27"/>
        <v>19.360810000000001</v>
      </c>
      <c r="D894" s="409" t="s">
        <v>3040</v>
      </c>
      <c r="E894" s="409" t="s">
        <v>5586</v>
      </c>
      <c r="F894" s="409" t="s">
        <v>1100</v>
      </c>
      <c r="G894" s="409" t="s">
        <v>5587</v>
      </c>
      <c r="H894" s="465">
        <v>538.46848999999997</v>
      </c>
      <c r="I894" s="465">
        <v>19.360810000000001</v>
      </c>
      <c r="J894" s="465">
        <v>67.391400000000004</v>
      </c>
      <c r="K894" s="465">
        <v>7716.5070900000001</v>
      </c>
      <c r="L894" s="464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spojovacia lišta H18 3m strieborná</v>
      </c>
      <c r="C895" s="185">
        <f t="shared" si="27"/>
        <v>11.996420000000001</v>
      </c>
      <c r="D895" s="409" t="s">
        <v>2700</v>
      </c>
      <c r="E895" s="409" t="s">
        <v>5588</v>
      </c>
      <c r="F895" s="409" t="s">
        <v>5589</v>
      </c>
      <c r="G895" s="409" t="s">
        <v>2700</v>
      </c>
      <c r="H895" s="465">
        <v>333.64782000000002</v>
      </c>
      <c r="I895" s="465">
        <v>11.996420000000001</v>
      </c>
      <c r="J895" s="465">
        <v>48.042000000000002</v>
      </c>
      <c r="K895" s="465">
        <v>4781.3303900000001</v>
      </c>
      <c r="L895" s="464" t="s">
        <v>695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spojovacia lišta H18 3m zlatá</v>
      </c>
      <c r="C896" s="185">
        <f t="shared" si="27"/>
        <v>14.98902</v>
      </c>
      <c r="D896" s="409" t="s">
        <v>2701</v>
      </c>
      <c r="E896" s="409" t="s">
        <v>5590</v>
      </c>
      <c r="F896" s="409" t="s">
        <v>5591</v>
      </c>
      <c r="G896" s="409" t="s">
        <v>2701</v>
      </c>
      <c r="H896" s="465">
        <v>416.87885</v>
      </c>
      <c r="I896" s="465">
        <v>14.98902</v>
      </c>
      <c r="J896" s="465">
        <v>52.856400000000001</v>
      </c>
      <c r="K896" s="465">
        <v>5974.0702899999997</v>
      </c>
      <c r="L896" s="464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spojovacia lišta Simple/Blue H21 3m (pre lamino 18mm) oliva</v>
      </c>
      <c r="C897" s="185">
        <f t="shared" si="27"/>
        <v>14.279909999999999</v>
      </c>
      <c r="D897" s="409" t="s">
        <v>3124</v>
      </c>
      <c r="E897" s="409" t="s">
        <v>5592</v>
      </c>
      <c r="F897" s="409" t="s">
        <v>5593</v>
      </c>
      <c r="G897" s="409" t="s">
        <v>5594</v>
      </c>
      <c r="H897" s="465">
        <v>393.04982999999999</v>
      </c>
      <c r="I897" s="465">
        <v>14.279909999999999</v>
      </c>
      <c r="J897" s="465">
        <v>54.071179999999998</v>
      </c>
      <c r="K897" s="465">
        <v>5809.2995000000001</v>
      </c>
      <c r="L897" s="464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spojovacia lišta Simple/Blue H28 3m (pre lamino 18mm) oliva</v>
      </c>
      <c r="C898" s="185">
        <f t="shared" si="27"/>
        <v>24.79954</v>
      </c>
      <c r="D898" s="409" t="s">
        <v>3074</v>
      </c>
      <c r="E898" s="409" t="s">
        <v>5595</v>
      </c>
      <c r="F898" s="409" t="s">
        <v>5596</v>
      </c>
      <c r="G898" s="409" t="s">
        <v>5597</v>
      </c>
      <c r="H898" s="465">
        <v>682.28867000000002</v>
      </c>
      <c r="I898" s="465">
        <v>24.79954</v>
      </c>
      <c r="J898" s="465">
        <v>83.149019999999993</v>
      </c>
      <c r="K898" s="465">
        <v>10084.266540000001</v>
      </c>
      <c r="L898" s="464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System 10 II úch.lišta 2,7m striebor</v>
      </c>
      <c r="C899" s="185">
        <f t="shared" si="27"/>
        <v>18.892410000000002</v>
      </c>
      <c r="D899" s="409" t="s">
        <v>2777</v>
      </c>
      <c r="E899" s="409" t="s">
        <v>5598</v>
      </c>
      <c r="F899" s="409" t="s">
        <v>1201</v>
      </c>
      <c r="G899" s="409" t="s">
        <v>5599</v>
      </c>
      <c r="H899" s="465">
        <v>525.44104000000004</v>
      </c>
      <c r="I899" s="465">
        <v>18.892410000000002</v>
      </c>
      <c r="J899" s="465">
        <v>76.000200000000007</v>
      </c>
      <c r="K899" s="465">
        <v>7529.8176999999996</v>
      </c>
      <c r="L899" s="464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tesnenie na sklo 10/4,5mm</v>
      </c>
      <c r="C900" s="185">
        <f t="shared" ref="C900:C963" si="29">IF($A$2=1,H900,IF($A$2=2,I900,IF($A$2=3,J900,IF($A$2=4,K900,IF($A$2&gt;4,O900,"zadat jazyk")))))</f>
        <v>0.80669999999999997</v>
      </c>
      <c r="D900" s="409" t="s">
        <v>2854</v>
      </c>
      <c r="E900" s="409" t="s">
        <v>5600</v>
      </c>
      <c r="F900" s="409" t="s">
        <v>5601</v>
      </c>
      <c r="G900" s="409" t="s">
        <v>5602</v>
      </c>
      <c r="H900" s="465">
        <v>23.80818</v>
      </c>
      <c r="I900" s="465">
        <v>0.80669999999999997</v>
      </c>
      <c r="J900" s="465">
        <v>2.7501000000000002</v>
      </c>
      <c r="K900" s="465">
        <v>330.63301999999999</v>
      </c>
      <c r="L900" s="464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tesnenie na sklo 10/4mm</v>
      </c>
      <c r="C901" s="185">
        <f t="shared" si="29"/>
        <v>0.80669999999999997</v>
      </c>
      <c r="D901" s="409" t="s">
        <v>2671</v>
      </c>
      <c r="E901" s="409" t="s">
        <v>5603</v>
      </c>
      <c r="F901" s="409" t="s">
        <v>5604</v>
      </c>
      <c r="G901" s="409" t="s">
        <v>5605</v>
      </c>
      <c r="H901" s="465">
        <v>23.80818</v>
      </c>
      <c r="I901" s="465">
        <v>0.80669999999999997</v>
      </c>
      <c r="J901" s="465">
        <v>2.7501000000000002</v>
      </c>
      <c r="K901" s="465">
        <v>330.63301999999999</v>
      </c>
      <c r="L901" s="464" t="s">
        <v>695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tesnenie na sklo 10/6mm</v>
      </c>
      <c r="C902" s="185">
        <f t="shared" si="29"/>
        <v>0.80669999999999997</v>
      </c>
      <c r="D902" s="409" t="s">
        <v>2672</v>
      </c>
      <c r="E902" s="409" t="s">
        <v>5606</v>
      </c>
      <c r="F902" s="409" t="s">
        <v>5607</v>
      </c>
      <c r="G902" s="409" t="s">
        <v>5608</v>
      </c>
      <c r="H902" s="465">
        <v>23.80818</v>
      </c>
      <c r="I902" s="465">
        <v>0.80669999999999997</v>
      </c>
      <c r="J902" s="465">
        <v>2.7501000000000002</v>
      </c>
      <c r="K902" s="465">
        <v>330.63301999999999</v>
      </c>
      <c r="L902" s="464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9" t="e">
        <v>#N/A</v>
      </c>
      <c r="E903" s="409" t="e">
        <v>#N/A</v>
      </c>
      <c r="F903" s="409" t="e">
        <v>#N/A</v>
      </c>
      <c r="G903" s="409" t="e">
        <v>#N/A</v>
      </c>
      <c r="H903" s="465" t="e">
        <v>#N/A</v>
      </c>
      <c r="I903" s="465" t="e">
        <v>#N/A</v>
      </c>
      <c r="J903" s="465" t="e">
        <v>#N/A</v>
      </c>
      <c r="K903" s="465" t="e">
        <v>#N/A</v>
      </c>
      <c r="L903" s="464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Tytan úch.lišta 18mm 2,7m oliva</v>
      </c>
      <c r="C904" s="185">
        <f t="shared" si="29"/>
        <v>18.892410000000002</v>
      </c>
      <c r="D904" s="409" t="s">
        <v>2685</v>
      </c>
      <c r="E904" s="409" t="s">
        <v>5609</v>
      </c>
      <c r="F904" s="409" t="s">
        <v>1200</v>
      </c>
      <c r="G904" s="409" t="s">
        <v>5610</v>
      </c>
      <c r="H904" s="465">
        <v>525.44104000000004</v>
      </c>
      <c r="I904" s="465">
        <v>18.892410000000002</v>
      </c>
      <c r="J904" s="465">
        <v>72.504180000000005</v>
      </c>
      <c r="K904" s="465">
        <v>7529.8176999999996</v>
      </c>
      <c r="L904" s="464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Tytan úch.lišta 18mm 2,7m strieborná</v>
      </c>
      <c r="C905" s="185">
        <f t="shared" si="29"/>
        <v>16.342189999999999</v>
      </c>
      <c r="D905" s="409" t="s">
        <v>2686</v>
      </c>
      <c r="E905" s="409" t="s">
        <v>5611</v>
      </c>
      <c r="F905" s="409" t="s">
        <v>1199</v>
      </c>
      <c r="G905" s="409" t="s">
        <v>5612</v>
      </c>
      <c r="H905" s="465">
        <v>448.68088</v>
      </c>
      <c r="I905" s="465">
        <v>16.342189999999999</v>
      </c>
      <c r="J905" s="465">
        <v>67.83381</v>
      </c>
      <c r="K905" s="465">
        <v>6228.8768799999998</v>
      </c>
      <c r="L905" s="464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uholník Mini 17x11mm 3m biela lesk</v>
      </c>
      <c r="C906" s="185">
        <f t="shared" si="29"/>
        <v>5.6208799999999997</v>
      </c>
      <c r="D906" s="409" t="s">
        <v>5613</v>
      </c>
      <c r="E906" s="409" t="s">
        <v>5614</v>
      </c>
      <c r="F906" s="409" t="s">
        <v>5615</v>
      </c>
      <c r="G906" s="409" t="s">
        <v>5616</v>
      </c>
      <c r="H906" s="465">
        <v>156.32956999999999</v>
      </c>
      <c r="I906" s="465">
        <v>5.6208799999999997</v>
      </c>
      <c r="J906" s="465">
        <v>21.583200000000001</v>
      </c>
      <c r="K906" s="465">
        <v>2240.27646</v>
      </c>
      <c r="L906" s="464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9" t="e">
        <v>#N/A</v>
      </c>
      <c r="E907" s="409" t="e">
        <v>#N/A</v>
      </c>
      <c r="F907" s="409" t="e">
        <v>#N/A</v>
      </c>
      <c r="G907" s="409" t="e">
        <v>#N/A</v>
      </c>
      <c r="H907" s="465" t="e">
        <v>#N/A</v>
      </c>
      <c r="I907" s="465" t="e">
        <v>#N/A</v>
      </c>
      <c r="J907" s="465" t="e">
        <v>#N/A</v>
      </c>
      <c r="K907" s="465" t="e">
        <v>#N/A</v>
      </c>
      <c r="L907" s="464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str">
        <f t="shared" si="28"/>
        <v>SEVROLL vzorkovník Úchytkové lišty 2019 - šanon</v>
      </c>
      <c r="C908" s="185" t="e">
        <f t="shared" si="29"/>
        <v>#N/A</v>
      </c>
      <c r="D908" s="409" t="s">
        <v>6753</v>
      </c>
      <c r="E908" s="409" t="s">
        <v>6754</v>
      </c>
      <c r="F908" s="409" t="s">
        <v>6755</v>
      </c>
      <c r="G908" s="409" t="s">
        <v>6756</v>
      </c>
      <c r="H908" s="465" t="e">
        <v>#N/A</v>
      </c>
      <c r="I908" s="465" t="e">
        <v>#N/A</v>
      </c>
      <c r="J908" s="465" t="e">
        <v>#N/A</v>
      </c>
      <c r="K908" s="465" t="e">
        <v>#N/A</v>
      </c>
      <c r="L908" s="464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9" t="e">
        <v>#N/A</v>
      </c>
      <c r="E909" s="409" t="e">
        <v>#N/A</v>
      </c>
      <c r="F909" s="409" t="e">
        <v>#N/A</v>
      </c>
      <c r="G909" s="409" t="e">
        <v>#N/A</v>
      </c>
      <c r="H909" s="465" t="e">
        <v>#N/A</v>
      </c>
      <c r="I909" s="465" t="e">
        <v>#N/A</v>
      </c>
      <c r="J909" s="465" t="e">
        <v>#N/A</v>
      </c>
      <c r="K909" s="465" t="e">
        <v>#N/A</v>
      </c>
      <c r="L909" s="464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9" t="e">
        <v>#N/A</v>
      </c>
      <c r="E910" s="409" t="e">
        <v>#N/A</v>
      </c>
      <c r="F910" s="409" t="e">
        <v>#N/A</v>
      </c>
      <c r="G910" s="409" t="e">
        <v>#N/A</v>
      </c>
      <c r="H910" s="465" t="e">
        <v>#N/A</v>
      </c>
      <c r="I910" s="465" t="e">
        <v>#N/A</v>
      </c>
      <c r="J910" s="465" t="e">
        <v>#N/A</v>
      </c>
      <c r="K910" s="465" t="e">
        <v>#N/A</v>
      </c>
      <c r="L910" s="464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9" t="e">
        <v>#N/A</v>
      </c>
      <c r="E911" s="409" t="e">
        <v>#N/A</v>
      </c>
      <c r="F911" s="409" t="e">
        <v>#N/A</v>
      </c>
      <c r="G911" s="409" t="e">
        <v>#N/A</v>
      </c>
      <c r="H911" s="465" t="e">
        <v>#N/A</v>
      </c>
      <c r="I911" s="465" t="e">
        <v>#N/A</v>
      </c>
      <c r="J911" s="465" t="e">
        <v>#N/A</v>
      </c>
      <c r="K911" s="465" t="e">
        <v>#N/A</v>
      </c>
      <c r="L911" s="464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9" t="e">
        <v>#N/A</v>
      </c>
      <c r="E912" s="409" t="e">
        <v>#N/A</v>
      </c>
      <c r="F912" s="409" t="e">
        <v>#N/A</v>
      </c>
      <c r="G912" s="409" t="e">
        <v>#N/A</v>
      </c>
      <c r="H912" s="465" t="e">
        <v>#N/A</v>
      </c>
      <c r="I912" s="465" t="e">
        <v>#N/A</v>
      </c>
      <c r="J912" s="465" t="e">
        <v>#N/A</v>
      </c>
      <c r="K912" s="465" t="e">
        <v>#N/A</v>
      </c>
      <c r="L912" s="464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(Astin)-UHOLNÍK 3,6M HLINÍK (22/1)</v>
      </c>
      <c r="C913" s="185">
        <f t="shared" si="29"/>
        <v>10.487109999999999</v>
      </c>
      <c r="D913" s="409" t="s">
        <v>2718</v>
      </c>
      <c r="E913" s="409" t="s">
        <v>5617</v>
      </c>
      <c r="F913" s="409" t="s">
        <v>5618</v>
      </c>
      <c r="G913" s="409" t="s">
        <v>5619</v>
      </c>
      <c r="H913" s="465">
        <v>291.67043000000001</v>
      </c>
      <c r="I913" s="465">
        <v>10.487109999999999</v>
      </c>
      <c r="J913" s="465">
        <v>44.809489999999997</v>
      </c>
      <c r="K913" s="465">
        <v>4179.7746299999999</v>
      </c>
      <c r="L913" s="464" t="s">
        <v>539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(Astin) UHOLNÍK 2,7M str. (22/1)</v>
      </c>
      <c r="C914" s="185">
        <f t="shared" si="29"/>
        <v>7.9629200000000004</v>
      </c>
      <c r="D914" s="409" t="s">
        <v>2717</v>
      </c>
      <c r="E914" s="409" t="s">
        <v>5620</v>
      </c>
      <c r="F914" s="409" t="s">
        <v>5621</v>
      </c>
      <c r="G914" s="409" t="s">
        <v>5622</v>
      </c>
      <c r="H914" s="465">
        <v>221.46689000000001</v>
      </c>
      <c r="I914" s="465">
        <v>7.9629200000000004</v>
      </c>
      <c r="J914" s="465">
        <v>34.024070000000002</v>
      </c>
      <c r="K914" s="465">
        <v>3173.7249099999999</v>
      </c>
      <c r="L914" s="464" t="s">
        <v>538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(Astin)-UHOLNÍK 1,8M HLINÍK (22/1)</v>
      </c>
      <c r="C915" s="185">
        <f t="shared" si="29"/>
        <v>5.0744100000000003</v>
      </c>
      <c r="D915" s="409" t="s">
        <v>2716</v>
      </c>
      <c r="E915" s="409" t="s">
        <v>5623</v>
      </c>
      <c r="F915" s="409" t="s">
        <v>5624</v>
      </c>
      <c r="G915" s="409" t="s">
        <v>5625</v>
      </c>
      <c r="H915" s="465">
        <v>141.13086999999999</v>
      </c>
      <c r="I915" s="465">
        <v>5.0744100000000003</v>
      </c>
      <c r="J915" s="465">
        <v>21.682020000000001</v>
      </c>
      <c r="K915" s="465">
        <v>2022.4718600000001</v>
      </c>
      <c r="L915" s="464" t="s">
        <v>539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str">
        <f t="shared" si="28"/>
        <v>Sevroll (Astin) spojovací H08 profil 3m strieborná</v>
      </c>
      <c r="C916" s="185" t="e">
        <f t="shared" si="29"/>
        <v>#N/A</v>
      </c>
      <c r="D916" s="409" t="s">
        <v>2719</v>
      </c>
      <c r="E916" s="409" t="s">
        <v>5626</v>
      </c>
      <c r="F916" s="409" t="s">
        <v>5627</v>
      </c>
      <c r="G916" s="409" t="s">
        <v>5628</v>
      </c>
      <c r="H916" s="465" t="e">
        <v>#N/A</v>
      </c>
      <c r="I916" s="465" t="e">
        <v>#N/A</v>
      </c>
      <c r="J916" s="465" t="e">
        <v>#N/A</v>
      </c>
      <c r="K916" s="465" t="e">
        <v>#N/A</v>
      </c>
      <c r="L916" s="464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(Astin)-SPODNÝ PROFIL 3,6M HLINÍK (22/1)</v>
      </c>
      <c r="C917" s="185">
        <f t="shared" si="29"/>
        <v>22.17126</v>
      </c>
      <c r="D917" s="409" t="s">
        <v>2715</v>
      </c>
      <c r="E917" s="409" t="s">
        <v>5629</v>
      </c>
      <c r="F917" s="409" t="s">
        <v>5630</v>
      </c>
      <c r="G917" s="409" t="s">
        <v>5631</v>
      </c>
      <c r="H917" s="465">
        <v>616.63327000000004</v>
      </c>
      <c r="I917" s="465">
        <v>22.17126</v>
      </c>
      <c r="J917" s="465">
        <v>92.052850000000007</v>
      </c>
      <c r="K917" s="465">
        <v>8836.6453000000001</v>
      </c>
      <c r="L917" s="464" t="s">
        <v>538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(Astin)-SPODNÝ PROFIL 2,7M HLINÍK (22/1)</v>
      </c>
      <c r="C918" s="185">
        <f t="shared" si="29"/>
        <v>18.76229</v>
      </c>
      <c r="D918" s="409" t="s">
        <v>2714</v>
      </c>
      <c r="E918" s="409" t="s">
        <v>5632</v>
      </c>
      <c r="F918" s="409" t="s">
        <v>5633</v>
      </c>
      <c r="G918" s="409" t="s">
        <v>5634</v>
      </c>
      <c r="H918" s="465">
        <v>521.82228999999995</v>
      </c>
      <c r="I918" s="465">
        <v>18.76229</v>
      </c>
      <c r="J918" s="465">
        <v>77.890870000000007</v>
      </c>
      <c r="K918" s="465">
        <v>7477.9592599999996</v>
      </c>
      <c r="L918" s="464" t="s">
        <v>538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(Astin)-SPODNÝ PROFIL 1,8M HLINÍK (22/1)</v>
      </c>
      <c r="C919" s="185">
        <f t="shared" si="29"/>
        <v>10.929489999999999</v>
      </c>
      <c r="D919" s="409" t="s">
        <v>2713</v>
      </c>
      <c r="E919" s="409" t="s">
        <v>5635</v>
      </c>
      <c r="F919" s="409" t="s">
        <v>5636</v>
      </c>
      <c r="G919" s="409" t="s">
        <v>5637</v>
      </c>
      <c r="H919" s="465">
        <v>303.97415000000001</v>
      </c>
      <c r="I919" s="465">
        <v>10.929489999999999</v>
      </c>
      <c r="J919" s="465">
        <v>45.359380000000002</v>
      </c>
      <c r="K919" s="465">
        <v>4356.0927899999997</v>
      </c>
      <c r="L919" s="464" t="s">
        <v>539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(Astin) Orient úch.lišta 2,7m str. (32/1)</v>
      </c>
      <c r="C920" s="185">
        <f t="shared" si="29"/>
        <v>19.673089999999998</v>
      </c>
      <c r="D920" s="409" t="s">
        <v>2709</v>
      </c>
      <c r="E920" s="409" t="s">
        <v>5638</v>
      </c>
      <c r="F920" s="409" t="s">
        <v>5639</v>
      </c>
      <c r="G920" s="409" t="s">
        <v>5640</v>
      </c>
      <c r="H920" s="465">
        <v>547.15347999999994</v>
      </c>
      <c r="I920" s="465">
        <v>19.673089999999998</v>
      </c>
      <c r="J920" s="465">
        <v>81.387789999999995</v>
      </c>
      <c r="K920" s="465">
        <v>7840.9672099999998</v>
      </c>
      <c r="L920" s="464" t="s">
        <v>538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(Astin)-HORNÝ PROFIL 3,6M HLINÍK (32/1)</v>
      </c>
      <c r="C921" s="185">
        <f t="shared" si="29"/>
        <v>44.862960000000001</v>
      </c>
      <c r="D921" s="409" t="s">
        <v>2712</v>
      </c>
      <c r="E921" s="409" t="s">
        <v>5641</v>
      </c>
      <c r="F921" s="409" t="s">
        <v>5642</v>
      </c>
      <c r="G921" s="409" t="s">
        <v>5643</v>
      </c>
      <c r="H921" s="465">
        <v>1247.7415100000001</v>
      </c>
      <c r="I921" s="465">
        <v>44.862960000000001</v>
      </c>
      <c r="J921" s="465">
        <v>176.27547000000001</v>
      </c>
      <c r="K921" s="465">
        <v>17880.723620000001</v>
      </c>
      <c r="L921" s="464" t="s">
        <v>539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(Astin)-HORNÝ PROFIL 2,7M HLINÍK (32/1)</v>
      </c>
      <c r="C922" s="185">
        <f t="shared" si="29"/>
        <v>36.691870000000002</v>
      </c>
      <c r="D922" s="409" t="s">
        <v>2711</v>
      </c>
      <c r="E922" s="409" t="s">
        <v>5644</v>
      </c>
      <c r="F922" s="409" t="s">
        <v>5645</v>
      </c>
      <c r="G922" s="409" t="s">
        <v>5646</v>
      </c>
      <c r="H922" s="465">
        <v>1020.48465</v>
      </c>
      <c r="I922" s="465">
        <v>36.691870000000002</v>
      </c>
      <c r="J922" s="465">
        <v>144.12826999999999</v>
      </c>
      <c r="K922" s="465">
        <v>14624.02583</v>
      </c>
      <c r="L922" s="464" t="s">
        <v>538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(Astin)-HORNÝ PROFIL 1,8M HLINÍK (32/1)</v>
      </c>
      <c r="C923" s="185">
        <f t="shared" si="29"/>
        <v>21.260459999999998</v>
      </c>
      <c r="D923" s="409" t="s">
        <v>2710</v>
      </c>
      <c r="E923" s="409" t="s">
        <v>5647</v>
      </c>
      <c r="F923" s="409" t="s">
        <v>5648</v>
      </c>
      <c r="G923" s="409" t="s">
        <v>5649</v>
      </c>
      <c r="H923" s="465">
        <v>591.30210999999997</v>
      </c>
      <c r="I923" s="465">
        <v>21.260459999999998</v>
      </c>
      <c r="J923" s="465">
        <v>83.524460000000005</v>
      </c>
      <c r="K923" s="465">
        <v>8473.6377699999994</v>
      </c>
      <c r="L923" s="464" t="s">
        <v>538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(Astin) Elegant úch.lišta 2,7m str. (22/1)</v>
      </c>
      <c r="C924" s="185">
        <f t="shared" si="29"/>
        <v>19.595020000000002</v>
      </c>
      <c r="D924" s="409" t="s">
        <v>2708</v>
      </c>
      <c r="E924" s="409" t="s">
        <v>5650</v>
      </c>
      <c r="F924" s="409" t="s">
        <v>5651</v>
      </c>
      <c r="G924" s="409" t="s">
        <v>5652</v>
      </c>
      <c r="H924" s="465">
        <v>544.98221999999998</v>
      </c>
      <c r="I924" s="465">
        <v>19.595020000000002</v>
      </c>
      <c r="J924" s="465">
        <v>81.096440000000001</v>
      </c>
      <c r="K924" s="465">
        <v>7809.8519699999997</v>
      </c>
      <c r="L924" s="464" t="s">
        <v>538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str">
        <f t="shared" si="28"/>
        <v>SEVROLL vedenie INTER S 35kg do stropu 6m</v>
      </c>
      <c r="C925" s="185" t="e">
        <f t="shared" si="29"/>
        <v>#N/A</v>
      </c>
      <c r="D925" s="409" t="s">
        <v>3232</v>
      </c>
      <c r="E925" s="409" t="s">
        <v>5653</v>
      </c>
      <c r="F925" s="409" t="s">
        <v>1078</v>
      </c>
      <c r="G925" s="409" t="s">
        <v>5654</v>
      </c>
      <c r="H925" s="465" t="e">
        <v>#N/A</v>
      </c>
      <c r="I925" s="465" t="e">
        <v>#N/A</v>
      </c>
      <c r="J925" s="465" t="e">
        <v>#N/A</v>
      </c>
      <c r="K925" s="465" t="e">
        <v>#N/A</v>
      </c>
      <c r="L925" s="464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str">
        <f t="shared" si="28"/>
        <v>SEVROLL vedenie INTER S 35kg do stropu 3m</v>
      </c>
      <c r="C926" s="185" t="e">
        <f t="shared" si="29"/>
        <v>#N/A</v>
      </c>
      <c r="D926" s="409" t="s">
        <v>3231</v>
      </c>
      <c r="E926" s="409" t="s">
        <v>5655</v>
      </c>
      <c r="F926" s="409" t="s">
        <v>1079</v>
      </c>
      <c r="G926" s="409" t="s">
        <v>5656</v>
      </c>
      <c r="H926" s="465" t="e">
        <v>#N/A</v>
      </c>
      <c r="I926" s="465" t="e">
        <v>#N/A</v>
      </c>
      <c r="J926" s="465" t="e">
        <v>#N/A</v>
      </c>
      <c r="K926" s="465" t="e">
        <v>#N/A</v>
      </c>
      <c r="L926" s="464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str">
        <f t="shared" si="28"/>
        <v>SEVROLL vedenie INTER B 35kg na stenu 6m</v>
      </c>
      <c r="C927" s="185" t="e">
        <f t="shared" si="29"/>
        <v>#N/A</v>
      </c>
      <c r="D927" s="409" t="s">
        <v>3235</v>
      </c>
      <c r="E927" s="409" t="s">
        <v>5657</v>
      </c>
      <c r="F927" s="409" t="s">
        <v>1080</v>
      </c>
      <c r="G927" s="409" t="s">
        <v>5658</v>
      </c>
      <c r="H927" s="465" t="e">
        <v>#N/A</v>
      </c>
      <c r="I927" s="465" t="e">
        <v>#N/A</v>
      </c>
      <c r="J927" s="465" t="e">
        <v>#N/A</v>
      </c>
      <c r="K927" s="465" t="e">
        <v>#N/A</v>
      </c>
      <c r="L927" s="464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str">
        <f t="shared" si="28"/>
        <v>SEVROLL vedenie INTER B 35kg do stropu 3m</v>
      </c>
      <c r="C928" s="185" t="e">
        <f t="shared" si="29"/>
        <v>#N/A</v>
      </c>
      <c r="D928" s="409" t="s">
        <v>3234</v>
      </c>
      <c r="E928" s="409" t="s">
        <v>5659</v>
      </c>
      <c r="F928" s="409" t="s">
        <v>1081</v>
      </c>
      <c r="G928" s="409" t="s">
        <v>5660</v>
      </c>
      <c r="H928" s="465" t="e">
        <v>#N/A</v>
      </c>
      <c r="I928" s="465" t="e">
        <v>#N/A</v>
      </c>
      <c r="J928" s="465" t="e">
        <v>#N/A</v>
      </c>
      <c r="K928" s="465" t="e">
        <v>#N/A</v>
      </c>
      <c r="L928" s="464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vedenie Galaxy S 50kg do stropu 4m</v>
      </c>
      <c r="C929" s="185">
        <f t="shared" si="29"/>
        <v>24.90363</v>
      </c>
      <c r="D929" s="409" t="s">
        <v>3323</v>
      </c>
      <c r="E929" s="409" t="s">
        <v>5661</v>
      </c>
      <c r="F929" s="409" t="s">
        <v>1082</v>
      </c>
      <c r="G929" s="409" t="s">
        <v>5662</v>
      </c>
      <c r="H929" s="465">
        <v>660.23779999999999</v>
      </c>
      <c r="I929" s="465">
        <v>24.90363</v>
      </c>
      <c r="J929" s="465">
        <v>84.933130000000006</v>
      </c>
      <c r="K929" s="465">
        <v>9644.3744600000009</v>
      </c>
      <c r="L929" s="464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vedenie Galaxy S 50kg do stropu 2,5m</v>
      </c>
      <c r="C930" s="185">
        <f t="shared" si="29"/>
        <v>0</v>
      </c>
      <c r="D930" s="409" t="s">
        <v>3322</v>
      </c>
      <c r="E930" s="409" t="s">
        <v>5663</v>
      </c>
      <c r="F930" s="409" t="s">
        <v>1083</v>
      </c>
      <c r="G930" s="409" t="s">
        <v>5664</v>
      </c>
      <c r="H930" s="465">
        <v>0</v>
      </c>
      <c r="I930" s="465">
        <v>0</v>
      </c>
      <c r="J930" s="465">
        <v>0</v>
      </c>
      <c r="K930" s="465">
        <v>0</v>
      </c>
      <c r="L930" s="464" t="s">
        <v>540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vedenie Galaxy S 50kg do stropu 1,5m</v>
      </c>
      <c r="C931" s="185">
        <f t="shared" si="29"/>
        <v>9.3421099999999999</v>
      </c>
      <c r="D931" s="409" t="s">
        <v>3321</v>
      </c>
      <c r="E931" s="409" t="s">
        <v>5665</v>
      </c>
      <c r="F931" s="409" t="s">
        <v>1084</v>
      </c>
      <c r="G931" s="409" t="s">
        <v>5666</v>
      </c>
      <c r="H931" s="465">
        <v>247.67541</v>
      </c>
      <c r="I931" s="465">
        <v>9.3421099999999999</v>
      </c>
      <c r="J931" s="465">
        <v>31.881550000000001</v>
      </c>
      <c r="K931" s="465">
        <v>3617.9001400000002</v>
      </c>
      <c r="L931" s="464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vedenie Galaxy B 50kg na stenu 4m</v>
      </c>
      <c r="C932" s="185">
        <f t="shared" si="29"/>
        <v>26.152709999999999</v>
      </c>
      <c r="D932" s="409" t="s">
        <v>3320</v>
      </c>
      <c r="E932" s="409" t="s">
        <v>5667</v>
      </c>
      <c r="F932" s="409" t="s">
        <v>1085</v>
      </c>
      <c r="G932" s="409" t="s">
        <v>5668</v>
      </c>
      <c r="H932" s="465">
        <v>693.35317999999995</v>
      </c>
      <c r="I932" s="465">
        <v>26.152709999999999</v>
      </c>
      <c r="J932" s="465">
        <v>89.2346</v>
      </c>
      <c r="K932" s="465">
        <v>10128.1049</v>
      </c>
      <c r="L932" s="464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vedenie Galaxy B 50kg na stenu 2,5m</v>
      </c>
      <c r="C933" s="185">
        <f t="shared" si="29"/>
        <v>0</v>
      </c>
      <c r="D933" s="409" t="s">
        <v>3319</v>
      </c>
      <c r="E933" s="409" t="s">
        <v>5669</v>
      </c>
      <c r="F933" s="409" t="s">
        <v>1086</v>
      </c>
      <c r="G933" s="409" t="s">
        <v>5670</v>
      </c>
      <c r="H933" s="465">
        <v>0</v>
      </c>
      <c r="I933" s="465">
        <v>0</v>
      </c>
      <c r="J933" s="465">
        <v>0</v>
      </c>
      <c r="K933" s="465">
        <v>0</v>
      </c>
      <c r="L933" s="464" t="s">
        <v>540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Exclusive horné vedenie 1,8m str.</v>
      </c>
      <c r="C934" s="185">
        <f t="shared" si="29"/>
        <v>19.516950000000001</v>
      </c>
      <c r="D934" s="409" t="s">
        <v>2755</v>
      </c>
      <c r="E934" s="409" t="s">
        <v>5671</v>
      </c>
      <c r="F934" s="409" t="s">
        <v>1173</v>
      </c>
      <c r="G934" s="409" t="s">
        <v>5672</v>
      </c>
      <c r="H934" s="465">
        <v>517.42773999999997</v>
      </c>
      <c r="I934" s="465">
        <v>19.516950000000001</v>
      </c>
      <c r="J934" s="465">
        <v>66.586370000000002</v>
      </c>
      <c r="K934" s="465">
        <v>7558.2870999999996</v>
      </c>
      <c r="L934" s="464" t="s">
        <v>539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vedenie INTER S 35kg do stropu 2m</v>
      </c>
      <c r="C935" s="185">
        <f t="shared" si="29"/>
        <v>10.981540000000001</v>
      </c>
      <c r="D935" s="409" t="s">
        <v>3230</v>
      </c>
      <c r="E935" s="409" t="s">
        <v>5673</v>
      </c>
      <c r="F935" s="409" t="s">
        <v>5674</v>
      </c>
      <c r="G935" s="409" t="s">
        <v>5675</v>
      </c>
      <c r="H935" s="465">
        <v>291.13934</v>
      </c>
      <c r="I935" s="465">
        <v>10.981540000000001</v>
      </c>
      <c r="J935" s="465">
        <v>37.448180000000001</v>
      </c>
      <c r="K935" s="465">
        <v>4067.0250000000001</v>
      </c>
      <c r="L935" s="464" t="s">
        <v>540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str">
        <f t="shared" si="28"/>
        <v>SEVROLL 50460 vedenie INTER S 35kg do stropu 1,5m</v>
      </c>
      <c r="C936" s="185" t="e">
        <f t="shared" si="29"/>
        <v>#N/A</v>
      </c>
      <c r="D936" s="409" t="s">
        <v>3254</v>
      </c>
      <c r="E936" s="409" t="s">
        <v>5676</v>
      </c>
      <c r="F936" s="409" t="s">
        <v>5677</v>
      </c>
      <c r="G936" s="409" t="s">
        <v>5678</v>
      </c>
      <c r="H936" s="465" t="e">
        <v>#N/A</v>
      </c>
      <c r="I936" s="465" t="e">
        <v>#N/A</v>
      </c>
      <c r="J936" s="465" t="e">
        <v>#N/A</v>
      </c>
      <c r="K936" s="465" t="e">
        <v>#N/A</v>
      </c>
      <c r="L936" s="464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vedenie INTER B 35kg na stenu 2m</v>
      </c>
      <c r="C937" s="185">
        <f t="shared" si="29"/>
        <v>10.981540000000001</v>
      </c>
      <c r="D937" s="409" t="s">
        <v>3233</v>
      </c>
      <c r="E937" s="409" t="s">
        <v>5679</v>
      </c>
      <c r="F937" s="409" t="s">
        <v>5680</v>
      </c>
      <c r="G937" s="409" t="s">
        <v>5681</v>
      </c>
      <c r="H937" s="465">
        <v>291.13934</v>
      </c>
      <c r="I937" s="465">
        <v>10.981540000000001</v>
      </c>
      <c r="J937" s="465">
        <v>37.448180000000001</v>
      </c>
      <c r="K937" s="465">
        <v>4067.0250000000001</v>
      </c>
      <c r="L937" s="464" t="s">
        <v>540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vedenie INTER B 35kg na stenu 1,5m</v>
      </c>
      <c r="C938" s="185">
        <f t="shared" si="29"/>
        <v>8.19712</v>
      </c>
      <c r="D938" s="409" t="s">
        <v>3255</v>
      </c>
      <c r="E938" s="409" t="s">
        <v>5682</v>
      </c>
      <c r="F938" s="409" t="s">
        <v>5683</v>
      </c>
      <c r="G938" s="409" t="s">
        <v>5684</v>
      </c>
      <c r="H938" s="465">
        <v>217.31966</v>
      </c>
      <c r="I938" s="465">
        <v>8.19712</v>
      </c>
      <c r="J938" s="465">
        <v>28.00179</v>
      </c>
      <c r="K938" s="465">
        <v>3035.8125100000002</v>
      </c>
      <c r="L938" s="464" t="s">
        <v>540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vedenie Galaxy S 50kg do stropu 6m</v>
      </c>
      <c r="C939" s="185">
        <f t="shared" si="29"/>
        <v>37.34243</v>
      </c>
      <c r="D939" s="409" t="s">
        <v>3238</v>
      </c>
      <c r="E939" s="409" t="s">
        <v>5685</v>
      </c>
      <c r="F939" s="409" t="s">
        <v>5686</v>
      </c>
      <c r="G939" s="409" t="s">
        <v>5687</v>
      </c>
      <c r="H939" s="465">
        <v>990.01175000000001</v>
      </c>
      <c r="I939" s="465">
        <v>37.34243</v>
      </c>
      <c r="J939" s="465">
        <v>127.44186000000001</v>
      </c>
      <c r="K939" s="465">
        <v>14461.522849999999</v>
      </c>
      <c r="L939" s="464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vedenie Galaxy S 50kg do stropu 3m</v>
      </c>
      <c r="C940" s="185">
        <f t="shared" si="29"/>
        <v>18.658200000000001</v>
      </c>
      <c r="D940" s="409" t="s">
        <v>3237</v>
      </c>
      <c r="E940" s="409" t="s">
        <v>5688</v>
      </c>
      <c r="F940" s="409" t="s">
        <v>5689</v>
      </c>
      <c r="G940" s="409" t="s">
        <v>5690</v>
      </c>
      <c r="H940" s="465">
        <v>494.66093000000001</v>
      </c>
      <c r="I940" s="465">
        <v>18.658200000000001</v>
      </c>
      <c r="J940" s="465">
        <v>63.678759999999997</v>
      </c>
      <c r="K940" s="465">
        <v>7225.7225799999997</v>
      </c>
      <c r="L940" s="464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vedenie Galaxy S 50kg do stropu 2m</v>
      </c>
      <c r="C941" s="185">
        <f t="shared" si="29"/>
        <v>12.464829999999999</v>
      </c>
      <c r="D941" s="409" t="s">
        <v>3236</v>
      </c>
      <c r="E941" s="409" t="s">
        <v>5691</v>
      </c>
      <c r="F941" s="409" t="s">
        <v>5692</v>
      </c>
      <c r="G941" s="409" t="s">
        <v>5693</v>
      </c>
      <c r="H941" s="465">
        <v>330.46384999999998</v>
      </c>
      <c r="I941" s="465">
        <v>12.464829999999999</v>
      </c>
      <c r="J941" s="465">
        <v>42.508749999999999</v>
      </c>
      <c r="K941" s="465">
        <v>4827.22606</v>
      </c>
      <c r="L941" s="464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vedenie Galaxy B 50kg na stenu 6m</v>
      </c>
      <c r="C942" s="185">
        <f t="shared" si="29"/>
        <v>39.268099999999997</v>
      </c>
      <c r="D942" s="409" t="s">
        <v>3241</v>
      </c>
      <c r="E942" s="409" t="s">
        <v>5694</v>
      </c>
      <c r="F942" s="409" t="s">
        <v>5695</v>
      </c>
      <c r="G942" s="409" t="s">
        <v>5696</v>
      </c>
      <c r="H942" s="465">
        <v>1041.0646099999999</v>
      </c>
      <c r="I942" s="465">
        <v>39.268099999999997</v>
      </c>
      <c r="J942" s="465">
        <v>133.93624</v>
      </c>
      <c r="K942" s="465">
        <v>15207.27367</v>
      </c>
      <c r="L942" s="464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vedenie Galaxy B 50kg na stenu 3m</v>
      </c>
      <c r="C943" s="185">
        <f t="shared" si="29"/>
        <v>19.621040000000001</v>
      </c>
      <c r="D943" s="409" t="s">
        <v>3240</v>
      </c>
      <c r="E943" s="409" t="s">
        <v>5697</v>
      </c>
      <c r="F943" s="409" t="s">
        <v>5698</v>
      </c>
      <c r="G943" s="409" t="s">
        <v>5699</v>
      </c>
      <c r="H943" s="465">
        <v>520.18733999999995</v>
      </c>
      <c r="I943" s="465">
        <v>19.621040000000001</v>
      </c>
      <c r="J943" s="465">
        <v>66.968130000000002</v>
      </c>
      <c r="K943" s="465">
        <v>7598.5978100000002</v>
      </c>
      <c r="L943" s="464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vedenie Galaxy B 50kg na stenu 2m</v>
      </c>
      <c r="C944" s="185">
        <f t="shared" si="29"/>
        <v>13.089370000000001</v>
      </c>
      <c r="D944" s="409" t="s">
        <v>3239</v>
      </c>
      <c r="E944" s="409" t="s">
        <v>5700</v>
      </c>
      <c r="F944" s="409" t="s">
        <v>5701</v>
      </c>
      <c r="G944" s="409" t="s">
        <v>5702</v>
      </c>
      <c r="H944" s="465">
        <v>347.02152999999998</v>
      </c>
      <c r="I944" s="465">
        <v>13.089370000000001</v>
      </c>
      <c r="J944" s="465">
        <v>44.6173</v>
      </c>
      <c r="K944" s="465">
        <v>5069.0910999999996</v>
      </c>
      <c r="L944" s="464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vrták stupňovitý 6,5/9,5mm</v>
      </c>
      <c r="C945" s="185">
        <f t="shared" si="29"/>
        <v>26.752659999999999</v>
      </c>
      <c r="D945" s="409" t="s">
        <v>2831</v>
      </c>
      <c r="E945" s="409" t="s">
        <v>5703</v>
      </c>
      <c r="F945" s="409" t="s">
        <v>2831</v>
      </c>
      <c r="G945" s="409" t="s">
        <v>5704</v>
      </c>
      <c r="H945" s="465">
        <v>671.23099999999999</v>
      </c>
      <c r="I945" s="465">
        <v>26.752659999999999</v>
      </c>
      <c r="J945" s="465">
        <v>116.85122</v>
      </c>
      <c r="K945" s="465">
        <v>10898.66318</v>
      </c>
      <c r="L945" s="464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9" t="e">
        <v>#N/A</v>
      </c>
      <c r="E946" s="409" t="e">
        <v>#N/A</v>
      </c>
      <c r="F946" s="409" t="e">
        <v>#N/A</v>
      </c>
      <c r="G946" s="409" t="e">
        <v>#N/A</v>
      </c>
      <c r="H946" s="465" t="e">
        <v>#N/A</v>
      </c>
      <c r="I946" s="465" t="e">
        <v>#N/A</v>
      </c>
      <c r="J946" s="465" t="e">
        <v>#N/A</v>
      </c>
      <c r="K946" s="465" t="e">
        <v>#N/A</v>
      </c>
      <c r="L946" s="464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9" t="e">
        <v>#N/A</v>
      </c>
      <c r="E947" s="409" t="e">
        <v>#N/A</v>
      </c>
      <c r="F947" s="409" t="e">
        <v>#N/A</v>
      </c>
      <c r="G947" s="409" t="e">
        <v>#N/A</v>
      </c>
      <c r="H947" s="465" t="e">
        <v>#N/A</v>
      </c>
      <c r="I947" s="465" t="e">
        <v>#N/A</v>
      </c>
      <c r="J947" s="465" t="e">
        <v>#N/A</v>
      </c>
      <c r="K947" s="465" t="e">
        <v>#N/A</v>
      </c>
      <c r="L947" s="464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9" t="e">
        <v>#N/A</v>
      </c>
      <c r="E948" s="409" t="e">
        <v>#N/A</v>
      </c>
      <c r="F948" s="409" t="e">
        <v>#N/A</v>
      </c>
      <c r="G948" s="409" t="e">
        <v>#N/A</v>
      </c>
      <c r="H948" s="465" t="e">
        <v>#N/A</v>
      </c>
      <c r="I948" s="465" t="e">
        <v>#N/A</v>
      </c>
      <c r="J948" s="465" t="e">
        <v>#N/A</v>
      </c>
      <c r="K948" s="465" t="e">
        <v>#N/A</v>
      </c>
      <c r="L948" s="464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9" t="e">
        <v>#N/A</v>
      </c>
      <c r="E949" s="409" t="e">
        <v>#N/A</v>
      </c>
      <c r="F949" s="409" t="e">
        <v>#N/A</v>
      </c>
      <c r="G949" s="409" t="e">
        <v>#N/A</v>
      </c>
      <c r="H949" s="465" t="e">
        <v>#N/A</v>
      </c>
      <c r="I949" s="465" t="e">
        <v>#N/A</v>
      </c>
      <c r="J949" s="465" t="e">
        <v>#N/A</v>
      </c>
      <c r="K949" s="465" t="e">
        <v>#N/A</v>
      </c>
      <c r="L949" s="464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9" t="e">
        <v>#N/A</v>
      </c>
      <c r="E950" s="409" t="e">
        <v>#N/A</v>
      </c>
      <c r="F950" s="409" t="e">
        <v>#N/A</v>
      </c>
      <c r="G950" s="409" t="e">
        <v>#N/A</v>
      </c>
      <c r="H950" s="465" t="e">
        <v>#N/A</v>
      </c>
      <c r="I950" s="465" t="e">
        <v>#N/A</v>
      </c>
      <c r="J950" s="465" t="e">
        <v>#N/A</v>
      </c>
      <c r="K950" s="465" t="e">
        <v>#N/A</v>
      </c>
      <c r="L950" s="464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vzorkovník profilov Simple (krabička</v>
      </c>
      <c r="C951" s="185">
        <f t="shared" si="29"/>
        <v>0</v>
      </c>
      <c r="D951" s="409" t="s">
        <v>3181</v>
      </c>
      <c r="E951" s="409" t="s">
        <v>5705</v>
      </c>
      <c r="F951" s="409" t="s">
        <v>1068</v>
      </c>
      <c r="G951" s="409" t="s">
        <v>5706</v>
      </c>
      <c r="H951" s="465">
        <v>0</v>
      </c>
      <c r="I951" s="465">
        <v>0</v>
      </c>
      <c r="J951" s="465">
        <v>0</v>
      </c>
      <c r="K951" s="465">
        <v>0</v>
      </c>
      <c r="L951" s="464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9" t="e">
        <v>#N/A</v>
      </c>
      <c r="E952" s="409" t="e">
        <v>#N/A</v>
      </c>
      <c r="F952" s="409" t="e">
        <v>#N/A</v>
      </c>
      <c r="G952" s="409" t="e">
        <v>#N/A</v>
      </c>
      <c r="H952" s="465" t="e">
        <v>#N/A</v>
      </c>
      <c r="I952" s="465" t="e">
        <v>#N/A</v>
      </c>
      <c r="J952" s="465" t="e">
        <v>#N/A</v>
      </c>
      <c r="K952" s="465" t="e">
        <v>#N/A</v>
      </c>
      <c r="L952" s="464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9" t="e">
        <v>#N/A</v>
      </c>
      <c r="E953" s="409" t="e">
        <v>#N/A</v>
      </c>
      <c r="F953" s="409" t="e">
        <v>#N/A</v>
      </c>
      <c r="G953" s="409" t="e">
        <v>#N/A</v>
      </c>
      <c r="H953" s="465" t="e">
        <v>#N/A</v>
      </c>
      <c r="I953" s="465" t="e">
        <v>#N/A</v>
      </c>
      <c r="J953" s="465" t="e">
        <v>#N/A</v>
      </c>
      <c r="K953" s="465" t="e">
        <v>#N/A</v>
      </c>
      <c r="L953" s="464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šablóna pre vozíky DTD 18mm</v>
      </c>
      <c r="C954" s="185">
        <f t="shared" si="29"/>
        <v>4.0829800000000001</v>
      </c>
      <c r="D954" s="409" t="s">
        <v>3033</v>
      </c>
      <c r="E954" s="409" t="s">
        <v>5707</v>
      </c>
      <c r="F954" s="409" t="s">
        <v>1071</v>
      </c>
      <c r="G954" s="409" t="s">
        <v>5708</v>
      </c>
      <c r="H954" s="465">
        <v>102.443</v>
      </c>
      <c r="I954" s="465">
        <v>4.0829800000000001</v>
      </c>
      <c r="J954" s="465">
        <v>17.821909999999999</v>
      </c>
      <c r="K954" s="465">
        <v>1662.2421200000001</v>
      </c>
      <c r="L954" s="464" t="s">
        <v>541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reklamná šablóna pre vozíky pre lamino 18mm</v>
      </c>
      <c r="C955" s="185">
        <f t="shared" si="29"/>
        <v>0</v>
      </c>
      <c r="D955" s="409" t="s">
        <v>3277</v>
      </c>
      <c r="E955" s="409" t="s">
        <v>1814</v>
      </c>
      <c r="F955" s="409" t="s">
        <v>5709</v>
      </c>
      <c r="G955" s="409" t="s">
        <v>2380</v>
      </c>
      <c r="H955" s="465">
        <v>0</v>
      </c>
      <c r="I955" s="465">
        <v>0</v>
      </c>
      <c r="J955" s="465">
        <v>0</v>
      </c>
      <c r="K955" s="465">
        <v>0</v>
      </c>
      <c r="L955" s="464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9" t="e">
        <v>#N/A</v>
      </c>
      <c r="E956" s="409" t="e">
        <v>#N/A</v>
      </c>
      <c r="F956" s="409" t="e">
        <v>#N/A</v>
      </c>
      <c r="G956" s="409" t="e">
        <v>#N/A</v>
      </c>
      <c r="H956" s="465" t="e">
        <v>#N/A</v>
      </c>
      <c r="I956" s="465" t="e">
        <v>#N/A</v>
      </c>
      <c r="J956" s="465" t="e">
        <v>#N/A</v>
      </c>
      <c r="K956" s="465" t="e">
        <v>#N/A</v>
      </c>
      <c r="L956" s="464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9" t="e">
        <v>#N/A</v>
      </c>
      <c r="E957" s="409" t="e">
        <v>#N/A</v>
      </c>
      <c r="F957" s="409" t="e">
        <v>#N/A</v>
      </c>
      <c r="G957" s="409" t="e">
        <v>#N/A</v>
      </c>
      <c r="H957" s="465" t="e">
        <v>#N/A</v>
      </c>
      <c r="I957" s="465" t="e">
        <v>#N/A</v>
      </c>
      <c r="J957" s="465" t="e">
        <v>#N/A</v>
      </c>
      <c r="K957" s="465" t="e">
        <v>#N/A</v>
      </c>
      <c r="L957" s="464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9" t="e">
        <v>#N/A</v>
      </c>
      <c r="E958" s="409" t="e">
        <v>#N/A</v>
      </c>
      <c r="F958" s="409" t="e">
        <v>#N/A</v>
      </c>
      <c r="G958" s="409" t="e">
        <v>#N/A</v>
      </c>
      <c r="H958" s="465" t="e">
        <v>#N/A</v>
      </c>
      <c r="I958" s="465" t="e">
        <v>#N/A</v>
      </c>
      <c r="J958" s="465" t="e">
        <v>#N/A</v>
      </c>
      <c r="K958" s="465" t="e">
        <v>#N/A</v>
      </c>
      <c r="L958" s="464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9" t="e">
        <v>#N/A</v>
      </c>
      <c r="E959" s="409" t="e">
        <v>#N/A</v>
      </c>
      <c r="F959" s="409" t="e">
        <v>#N/A</v>
      </c>
      <c r="G959" s="409" t="e">
        <v>#N/A</v>
      </c>
      <c r="H959" s="465" t="e">
        <v>#N/A</v>
      </c>
      <c r="I959" s="465" t="e">
        <v>#N/A</v>
      </c>
      <c r="J959" s="465" t="e">
        <v>#N/A</v>
      </c>
      <c r="K959" s="465" t="e">
        <v>#N/A</v>
      </c>
      <c r="L959" s="464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str">
        <f t="shared" si="28"/>
        <v>K-SEVROLL sp.vozík V 10mm+mont.prípr.zadarmo</v>
      </c>
      <c r="C960" s="185" t="e">
        <f t="shared" si="29"/>
        <v>#N/A</v>
      </c>
      <c r="D960" s="409" t="s">
        <v>1072</v>
      </c>
      <c r="E960" s="409" t="s">
        <v>5710</v>
      </c>
      <c r="F960" s="409" t="s">
        <v>1073</v>
      </c>
      <c r="G960" s="409" t="s">
        <v>5711</v>
      </c>
      <c r="H960" s="465" t="e">
        <v>#N/A</v>
      </c>
      <c r="I960" s="465" t="e">
        <v>#N/A</v>
      </c>
      <c r="J960" s="465" t="e">
        <v>#N/A</v>
      </c>
      <c r="K960" s="465" t="e">
        <v>#N/A</v>
      </c>
      <c r="L960" s="464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str">
        <f t="shared" si="28"/>
        <v>K-SEVROLL sp.vozík V 10mm+Fix+vrták zadarmo</v>
      </c>
      <c r="C961" s="185" t="e">
        <f t="shared" si="29"/>
        <v>#N/A</v>
      </c>
      <c r="D961" s="409" t="s">
        <v>1074</v>
      </c>
      <c r="E961" s="409" t="s">
        <v>5712</v>
      </c>
      <c r="F961" s="409" t="s">
        <v>1075</v>
      </c>
      <c r="G961" s="409" t="s">
        <v>5713</v>
      </c>
      <c r="H961" s="465" t="e">
        <v>#N/A</v>
      </c>
      <c r="I961" s="465" t="e">
        <v>#N/A</v>
      </c>
      <c r="J961" s="465" t="e">
        <v>#N/A</v>
      </c>
      <c r="K961" s="465" t="e">
        <v>#N/A</v>
      </c>
      <c r="L961" s="464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/>
      </c>
      <c r="C962" s="185">
        <f t="shared" si="29"/>
        <v>0</v>
      </c>
      <c r="D962" s="409" t="s">
        <v>1076</v>
      </c>
      <c r="E962" s="409" t="s">
        <v>5714</v>
      </c>
      <c r="F962" s="409" t="s">
        <v>68</v>
      </c>
      <c r="G962" s="409" t="s">
        <v>5715</v>
      </c>
      <c r="H962" s="465">
        <v>0</v>
      </c>
      <c r="I962" s="465">
        <v>0</v>
      </c>
      <c r="J962" s="465">
        <v>0</v>
      </c>
      <c r="K962" s="465">
        <v>0</v>
      </c>
      <c r="L962" s="464" t="s">
        <v>540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vzorkovník samolepiacíh fólií</v>
      </c>
      <c r="C963" s="185">
        <f t="shared" si="29"/>
        <v>0</v>
      </c>
      <c r="D963" s="409" t="s">
        <v>2903</v>
      </c>
      <c r="E963" s="409" t="s">
        <v>5716</v>
      </c>
      <c r="F963" s="409" t="s">
        <v>5717</v>
      </c>
      <c r="G963" s="409" t="s">
        <v>5718</v>
      </c>
      <c r="H963" s="465">
        <v>0</v>
      </c>
      <c r="I963" s="465">
        <v>0</v>
      </c>
      <c r="J963" s="465">
        <v>0</v>
      </c>
      <c r="K963" s="465">
        <v>0</v>
      </c>
      <c r="L963" s="464" t="s">
        <v>540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9" t="e">
        <v>#N/A</v>
      </c>
      <c r="E964" s="409" t="e">
        <v>#N/A</v>
      </c>
      <c r="F964" s="409" t="e">
        <v>#N/A</v>
      </c>
      <c r="G964" s="409" t="e">
        <v>#N/A</v>
      </c>
      <c r="H964" s="465" t="e">
        <v>#N/A</v>
      </c>
      <c r="I964" s="465" t="e">
        <v>#N/A</v>
      </c>
      <c r="J964" s="465" t="e">
        <v>#N/A</v>
      </c>
      <c r="K964" s="465" t="e">
        <v>#N/A</v>
      </c>
      <c r="L964" s="464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9" t="e">
        <v>#N/A</v>
      </c>
      <c r="E965" s="409" t="e">
        <v>#N/A</v>
      </c>
      <c r="F965" s="409" t="e">
        <v>#N/A</v>
      </c>
      <c r="G965" s="409" t="e">
        <v>#N/A</v>
      </c>
      <c r="H965" s="465" t="e">
        <v>#N/A</v>
      </c>
      <c r="I965" s="465" t="e">
        <v>#N/A</v>
      </c>
      <c r="J965" s="465" t="e">
        <v>#N/A</v>
      </c>
      <c r="K965" s="465" t="e">
        <v>#N/A</v>
      </c>
      <c r="L965" s="464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9" t="e">
        <v>#N/A</v>
      </c>
      <c r="E966" s="409" t="e">
        <v>#N/A</v>
      </c>
      <c r="F966" s="409" t="e">
        <v>#N/A</v>
      </c>
      <c r="G966" s="409" t="e">
        <v>#N/A</v>
      </c>
      <c r="H966" s="465" t="e">
        <v>#N/A</v>
      </c>
      <c r="I966" s="465" t="e">
        <v>#N/A</v>
      </c>
      <c r="J966" s="465" t="e">
        <v>#N/A</v>
      </c>
      <c r="K966" s="465" t="e">
        <v>#N/A</v>
      </c>
      <c r="L966" s="464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9" t="e">
        <v>#N/A</v>
      </c>
      <c r="E967" s="409" t="e">
        <v>#N/A</v>
      </c>
      <c r="F967" s="409" t="e">
        <v>#N/A</v>
      </c>
      <c r="G967" s="409" t="e">
        <v>#N/A</v>
      </c>
      <c r="H967" s="465" t="e">
        <v>#N/A</v>
      </c>
      <c r="I967" s="465" t="e">
        <v>#N/A</v>
      </c>
      <c r="J967" s="465" t="e">
        <v>#N/A</v>
      </c>
      <c r="K967" s="465" t="e">
        <v>#N/A</v>
      </c>
      <c r="L967" s="464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9" t="e">
        <v>#N/A</v>
      </c>
      <c r="E968" s="409" t="e">
        <v>#N/A</v>
      </c>
      <c r="F968" s="409" t="e">
        <v>#N/A</v>
      </c>
      <c r="G968" s="409" t="e">
        <v>#N/A</v>
      </c>
      <c r="H968" s="465" t="e">
        <v>#N/A</v>
      </c>
      <c r="I968" s="465" t="e">
        <v>#N/A</v>
      </c>
      <c r="J968" s="465" t="e">
        <v>#N/A</v>
      </c>
      <c r="K968" s="465" t="e">
        <v>#N/A</v>
      </c>
      <c r="L968" s="464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montážny prípravok pre Eden/Pax</v>
      </c>
      <c r="C969" s="185">
        <f t="shared" si="31"/>
        <v>21.633700000000001</v>
      </c>
      <c r="D969" s="409" t="s">
        <v>3350</v>
      </c>
      <c r="E969" s="409" t="s">
        <v>5719</v>
      </c>
      <c r="F969" s="409" t="s">
        <v>5720</v>
      </c>
      <c r="G969" s="409" t="s">
        <v>5721</v>
      </c>
      <c r="H969" s="465">
        <v>542.79499999999996</v>
      </c>
      <c r="I969" s="465">
        <v>21.633700000000001</v>
      </c>
      <c r="J969" s="465">
        <v>99.477649999999997</v>
      </c>
      <c r="K969" s="465">
        <v>9278.2384399999992</v>
      </c>
      <c r="L969" s="464" t="s">
        <v>539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montažný prípravok pre lamino 10mm veľký</v>
      </c>
      <c r="C970" s="185">
        <f t="shared" si="31"/>
        <v>110.13077</v>
      </c>
      <c r="D970" s="409" t="s">
        <v>2832</v>
      </c>
      <c r="E970" s="409" t="s">
        <v>5722</v>
      </c>
      <c r="F970" s="409" t="s">
        <v>5723</v>
      </c>
      <c r="G970" s="409" t="s">
        <v>5724</v>
      </c>
      <c r="H970" s="465">
        <v>2763.2087999999999</v>
      </c>
      <c r="I970" s="465">
        <v>110.13077</v>
      </c>
      <c r="J970" s="465">
        <v>506.41131999999999</v>
      </c>
      <c r="K970" s="465">
        <v>47232.767570000004</v>
      </c>
      <c r="L970" s="464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9" t="e">
        <v>#N/A</v>
      </c>
      <c r="E971" s="409" t="e">
        <v>#N/A</v>
      </c>
      <c r="F971" s="409" t="e">
        <v>#N/A</v>
      </c>
      <c r="G971" s="409" t="e">
        <v>#N/A</v>
      </c>
      <c r="H971" s="465" t="e">
        <v>#N/A</v>
      </c>
      <c r="I971" s="465" t="e">
        <v>#N/A</v>
      </c>
      <c r="J971" s="465" t="e">
        <v>#N/A</v>
      </c>
      <c r="K971" s="465" t="e">
        <v>#N/A</v>
      </c>
      <c r="L971" s="464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9" t="e">
        <v>#N/A</v>
      </c>
      <c r="E972" s="409" t="e">
        <v>#N/A</v>
      </c>
      <c r="F972" s="409" t="e">
        <v>#N/A</v>
      </c>
      <c r="G972" s="409" t="e">
        <v>#N/A</v>
      </c>
      <c r="H972" s="465" t="e">
        <v>#N/A</v>
      </c>
      <c r="I972" s="465" t="e">
        <v>#N/A</v>
      </c>
      <c r="J972" s="465" t="e">
        <v>#N/A</v>
      </c>
      <c r="K972" s="465" t="e">
        <v>#N/A</v>
      </c>
      <c r="L972" s="464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9" t="e">
        <v>#N/A</v>
      </c>
      <c r="E973" s="409" t="e">
        <v>#N/A</v>
      </c>
      <c r="F973" s="409" t="e">
        <v>#N/A</v>
      </c>
      <c r="G973" s="409" t="e">
        <v>#N/A</v>
      </c>
      <c r="H973" s="465" t="e">
        <v>#N/A</v>
      </c>
      <c r="I973" s="465" t="e">
        <v>#N/A</v>
      </c>
      <c r="J973" s="465" t="e">
        <v>#N/A</v>
      </c>
      <c r="K973" s="465" t="e">
        <v>#N/A</v>
      </c>
      <c r="L973" s="464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9" t="e">
        <v>#N/A</v>
      </c>
      <c r="E974" s="409" t="e">
        <v>#N/A</v>
      </c>
      <c r="F974" s="409" t="e">
        <v>#N/A</v>
      </c>
      <c r="G974" s="409" t="e">
        <v>#N/A</v>
      </c>
      <c r="H974" s="465" t="e">
        <v>#N/A</v>
      </c>
      <c r="I974" s="465" t="e">
        <v>#N/A</v>
      </c>
      <c r="J974" s="465" t="e">
        <v>#N/A</v>
      </c>
      <c r="K974" s="465" t="e">
        <v>#N/A</v>
      </c>
      <c r="L974" s="464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vrták stupňovitý 6,5/9,5mm</v>
      </c>
      <c r="C975" s="185">
        <f t="shared" si="31"/>
        <v>26.752659999999999</v>
      </c>
      <c r="D975" s="409" t="s">
        <v>2831</v>
      </c>
      <c r="E975" s="409" t="s">
        <v>5703</v>
      </c>
      <c r="F975" s="409" t="s">
        <v>2831</v>
      </c>
      <c r="G975" s="409" t="s">
        <v>5704</v>
      </c>
      <c r="H975" s="465">
        <v>671.23099999999999</v>
      </c>
      <c r="I975" s="465">
        <v>26.752659999999999</v>
      </c>
      <c r="J975" s="465">
        <v>116.85122</v>
      </c>
      <c r="K975" s="465">
        <v>10898.66318</v>
      </c>
      <c r="L975" s="464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montážny prípravok pre lamino 10/18mm</v>
      </c>
      <c r="C976" s="185">
        <f t="shared" si="31"/>
        <v>5.9477399999999996</v>
      </c>
      <c r="D976" s="409" t="s">
        <v>3197</v>
      </c>
      <c r="E976" s="409" t="s">
        <v>5725</v>
      </c>
      <c r="F976" s="409" t="s">
        <v>5726</v>
      </c>
      <c r="G976" s="409" t="s">
        <v>5727</v>
      </c>
      <c r="H976" s="465">
        <v>149.2304</v>
      </c>
      <c r="I976" s="465">
        <v>5.9477399999999996</v>
      </c>
      <c r="J976" s="465">
        <v>26.004300000000001</v>
      </c>
      <c r="K976" s="465">
        <v>2425.4100100000001</v>
      </c>
      <c r="L976" s="464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montážny prípravok pre systém Maxim malý</v>
      </c>
      <c r="C977" s="185">
        <f t="shared" si="31"/>
        <v>5.2530299999999999</v>
      </c>
      <c r="D977" s="409" t="s">
        <v>3198</v>
      </c>
      <c r="E977" s="409" t="s">
        <v>5728</v>
      </c>
      <c r="F977" s="409" t="s">
        <v>5729</v>
      </c>
      <c r="G977" s="409" t="s">
        <v>5730</v>
      </c>
      <c r="H977" s="465">
        <v>131.7998</v>
      </c>
      <c r="I977" s="465">
        <v>5.2530299999999999</v>
      </c>
      <c r="J977" s="465">
        <v>22.921900000000001</v>
      </c>
      <c r="K977" s="465">
        <v>2137.9153000000001</v>
      </c>
      <c r="L977" s="464" t="s">
        <v>540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montážny prípravok pre lamino 10mm malý</v>
      </c>
      <c r="C978" s="185">
        <f t="shared" si="31"/>
        <v>5.0214600000000003</v>
      </c>
      <c r="D978" s="409" t="s">
        <v>2833</v>
      </c>
      <c r="E978" s="409" t="s">
        <v>5731</v>
      </c>
      <c r="F978" s="409" t="s">
        <v>5732</v>
      </c>
      <c r="G978" s="409" t="s">
        <v>5733</v>
      </c>
      <c r="H978" s="465">
        <v>125.9896</v>
      </c>
      <c r="I978" s="465">
        <v>5.0214600000000003</v>
      </c>
      <c r="J978" s="465">
        <v>21.91311</v>
      </c>
      <c r="K978" s="465">
        <v>2043.8259700000001</v>
      </c>
      <c r="L978" s="464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šablóna pre vozíky - 1 pár = 1 ks</v>
      </c>
      <c r="C979" s="185">
        <f t="shared" si="31"/>
        <v>5.3261599999999998</v>
      </c>
      <c r="D979" s="409" t="s">
        <v>3435</v>
      </c>
      <c r="E979" s="409" t="s">
        <v>5734</v>
      </c>
      <c r="F979" s="409" t="s">
        <v>5735</v>
      </c>
      <c r="G979" s="409" t="s">
        <v>5736</v>
      </c>
      <c r="H979" s="465">
        <v>133.63460000000001</v>
      </c>
      <c r="I979" s="465">
        <v>5.3261599999999998</v>
      </c>
      <c r="J979" s="465">
        <v>23.25816</v>
      </c>
      <c r="K979" s="465">
        <v>2169.2782900000002</v>
      </c>
      <c r="L979" s="464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držiak spodného vedenia Gemini</v>
      </c>
      <c r="C980" s="185">
        <f t="shared" si="31"/>
        <v>0.23419999999999999</v>
      </c>
      <c r="D980" s="409" t="s">
        <v>1264</v>
      </c>
      <c r="E980" s="409" t="s">
        <v>1265</v>
      </c>
      <c r="F980" s="409" t="s">
        <v>5737</v>
      </c>
      <c r="G980" s="409" t="s">
        <v>1266</v>
      </c>
      <c r="H980" s="465">
        <v>6.5137299999999998</v>
      </c>
      <c r="I980" s="465">
        <v>0.23419999999999999</v>
      </c>
      <c r="J980" s="465">
        <v>0.80537000000000003</v>
      </c>
      <c r="K980" s="465">
        <v>93.344880000000003</v>
      </c>
      <c r="L980" s="464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IF-krytka nalepovacia20mm 15ks 93336 hliník mat</v>
      </c>
      <c r="C981" s="185">
        <f t="shared" si="31"/>
        <v>0.73299999999999998</v>
      </c>
      <c r="D981" s="409" t="s">
        <v>8782</v>
      </c>
      <c r="E981" s="409" t="s">
        <v>8783</v>
      </c>
      <c r="F981" s="409" t="s">
        <v>8784</v>
      </c>
      <c r="G981" s="409" t="s">
        <v>8785</v>
      </c>
      <c r="H981" s="465">
        <v>17.551069999999999</v>
      </c>
      <c r="I981" s="465">
        <v>0.73299999999999998</v>
      </c>
      <c r="J981" s="465">
        <v>1.95068</v>
      </c>
      <c r="K981" s="465">
        <v>193.0308</v>
      </c>
      <c r="L981" s="464" t="s">
        <v>695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IF-krytka nalepovacia13mm 20ks 06 oliva</v>
      </c>
      <c r="C982" s="185">
        <f t="shared" si="31"/>
        <v>0.69445000000000001</v>
      </c>
      <c r="D982" s="409" t="s">
        <v>6730</v>
      </c>
      <c r="E982" s="409" t="s">
        <v>6731</v>
      </c>
      <c r="F982" s="409" t="s">
        <v>6732</v>
      </c>
      <c r="G982" s="409" t="s">
        <v>6733</v>
      </c>
      <c r="H982" s="465">
        <v>16.627330000000001</v>
      </c>
      <c r="I982" s="465">
        <v>0.69445000000000001</v>
      </c>
      <c r="J982" s="465">
        <v>1.84802</v>
      </c>
      <c r="K982" s="465">
        <v>180.98</v>
      </c>
      <c r="L982" s="464" t="s">
        <v>695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IC-úch.lišta Rome 10mm alu EU 5,3m,strieborna</v>
      </c>
      <c r="C983" s="185">
        <f t="shared" si="31"/>
        <v>32.466650000000001</v>
      </c>
      <c r="D983" s="409" t="s">
        <v>6773</v>
      </c>
      <c r="E983" s="409" t="s">
        <v>6774</v>
      </c>
      <c r="F983" s="409" t="s">
        <v>6775</v>
      </c>
      <c r="G983" s="409" t="s">
        <v>6776</v>
      </c>
      <c r="H983" s="465">
        <v>834.18124999999998</v>
      </c>
      <c r="I983" s="465">
        <v>32.466650000000001</v>
      </c>
      <c r="J983" s="465">
        <v>179.0359</v>
      </c>
      <c r="K983" s="465">
        <v>0</v>
      </c>
      <c r="L983" s="464" t="s">
        <v>537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17.423649999999999</v>
      </c>
      <c r="D984" s="409" t="s">
        <v>6777</v>
      </c>
      <c r="E984" s="409" t="s">
        <v>6777</v>
      </c>
      <c r="F984" s="409" t="s">
        <v>6777</v>
      </c>
      <c r="G984" s="409" t="s">
        <v>6777</v>
      </c>
      <c r="H984" s="465">
        <v>426.608</v>
      </c>
      <c r="I984" s="465">
        <v>17.423649999999999</v>
      </c>
      <c r="J984" s="465">
        <v>78.900720000000007</v>
      </c>
      <c r="K984" s="465">
        <v>7396.8322699999999</v>
      </c>
      <c r="L984" s="464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9" t="e">
        <v>#N/A</v>
      </c>
      <c r="E985" s="409" t="e">
        <v>#N/A</v>
      </c>
      <c r="F985" s="409" t="e">
        <v>#N/A</v>
      </c>
      <c r="G985" s="409" t="e">
        <v>#N/A</v>
      </c>
      <c r="H985" s="465" t="e">
        <v>#N/A</v>
      </c>
      <c r="I985" s="465" t="e">
        <v>#N/A</v>
      </c>
      <c r="J985" s="465" t="e">
        <v>#N/A</v>
      </c>
      <c r="K985" s="465" t="e">
        <v>#N/A</v>
      </c>
      <c r="L985" s="464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9" t="e">
        <v>#N/A</v>
      </c>
      <c r="E986" s="409" t="e">
        <v>#N/A</v>
      </c>
      <c r="F986" s="409" t="e">
        <v>#N/A</v>
      </c>
      <c r="G986" s="409" t="e">
        <v>#N/A</v>
      </c>
      <c r="H986" s="465" t="e">
        <v>#N/A</v>
      </c>
      <c r="I986" s="465" t="e">
        <v>#N/A</v>
      </c>
      <c r="J986" s="465" t="e">
        <v>#N/A</v>
      </c>
      <c r="K986" s="465" t="e">
        <v>#N/A</v>
      </c>
      <c r="L986" s="464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str">
        <f t="shared" si="30"/>
        <v/>
      </c>
      <c r="C987" s="185" t="e">
        <f t="shared" si="31"/>
        <v>#N/A</v>
      </c>
      <c r="D987" s="409" t="s">
        <v>1274</v>
      </c>
      <c r="E987" s="409" t="s">
        <v>1726</v>
      </c>
      <c r="F987" s="409" t="s">
        <v>68</v>
      </c>
      <c r="G987" s="409" t="s">
        <v>2310</v>
      </c>
      <c r="H987" s="465" t="e">
        <v>#N/A</v>
      </c>
      <c r="I987" s="465" t="e">
        <v>#N/A</v>
      </c>
      <c r="J987" s="465" t="e">
        <v>#N/A</v>
      </c>
      <c r="K987" s="465" t="e">
        <v>#N/A</v>
      </c>
      <c r="L987" s="464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/>
      </c>
      <c r="C988" s="185">
        <f t="shared" si="31"/>
        <v>3.9899900000000001</v>
      </c>
      <c r="D988" s="409" t="s">
        <v>1275</v>
      </c>
      <c r="E988" s="409" t="s">
        <v>1727</v>
      </c>
      <c r="F988" s="409" t="s">
        <v>68</v>
      </c>
      <c r="G988" s="409" t="s">
        <v>2311</v>
      </c>
      <c r="H988" s="465">
        <v>260.96474000000001</v>
      </c>
      <c r="I988" s="465">
        <v>3.9899900000000001</v>
      </c>
      <c r="J988" s="465">
        <v>34.988689999999998</v>
      </c>
      <c r="K988" s="465">
        <v>3878.1701699999999</v>
      </c>
      <c r="L988" s="464" t="s">
        <v>541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S-kefa protiprachová vysoká 4,8x12mm sivá</v>
      </c>
      <c r="C989" s="185">
        <f t="shared" si="31"/>
        <v>0</v>
      </c>
      <c r="D989" s="409" t="s">
        <v>6778</v>
      </c>
      <c r="E989" s="409" t="s">
        <v>6779</v>
      </c>
      <c r="F989" s="409" t="s">
        <v>6780</v>
      </c>
      <c r="G989" s="409" t="s">
        <v>6781</v>
      </c>
      <c r="H989" s="465">
        <v>0</v>
      </c>
      <c r="I989" s="465">
        <v>0</v>
      </c>
      <c r="J989" s="465">
        <v>0</v>
      </c>
      <c r="K989" s="465">
        <v>0</v>
      </c>
      <c r="L989" s="464" t="s">
        <v>540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lišta zvislá široká Classic arktická strieborná</v>
      </c>
      <c r="C990" s="185">
        <f t="shared" si="31"/>
        <v>5.3296599999999996</v>
      </c>
      <c r="D990" s="409" t="s">
        <v>6782</v>
      </c>
      <c r="E990" s="409" t="s">
        <v>6783</v>
      </c>
      <c r="F990" s="409" t="s">
        <v>6784</v>
      </c>
      <c r="G990" s="409" t="s">
        <v>6785</v>
      </c>
      <c r="H990" s="465">
        <v>136.9375</v>
      </c>
      <c r="I990" s="465">
        <v>5.3296599999999996</v>
      </c>
      <c r="J990" s="465">
        <v>29.390180000000001</v>
      </c>
      <c r="K990" s="465">
        <v>0</v>
      </c>
      <c r="L990" s="464" t="s">
        <v>537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IC-koľajnička horná arktická strieborná 2m</v>
      </c>
      <c r="C991" s="185">
        <f t="shared" si="31"/>
        <v>13.513159999999999</v>
      </c>
      <c r="D991" s="409" t="s">
        <v>6786</v>
      </c>
      <c r="E991" s="409" t="s">
        <v>6787</v>
      </c>
      <c r="F991" s="409" t="s">
        <v>6788</v>
      </c>
      <c r="G991" s="409" t="s">
        <v>6789</v>
      </c>
      <c r="H991" s="465">
        <v>347.2</v>
      </c>
      <c r="I991" s="465">
        <v>13.513159999999999</v>
      </c>
      <c r="J991" s="465">
        <v>74.517700000000005</v>
      </c>
      <c r="K991" s="465">
        <v>0</v>
      </c>
      <c r="L991" s="464" t="s">
        <v>537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IC-koľajnička dolná arktická strieborná 2m</v>
      </c>
      <c r="C992" s="185">
        <f t="shared" si="31"/>
        <v>6.1231499999999999</v>
      </c>
      <c r="D992" s="409" t="s">
        <v>6790</v>
      </c>
      <c r="E992" s="409" t="s">
        <v>6791</v>
      </c>
      <c r="F992" s="409" t="s">
        <v>6792</v>
      </c>
      <c r="G992" s="409" t="s">
        <v>6793</v>
      </c>
      <c r="H992" s="465">
        <v>157.32499999999999</v>
      </c>
      <c r="I992" s="465">
        <v>6.1231499999999999</v>
      </c>
      <c r="J992" s="465">
        <v>33.765839999999997</v>
      </c>
      <c r="K992" s="465">
        <v>0</v>
      </c>
      <c r="L992" s="464" t="s">
        <v>537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lišta zvislá štandard biela 2,75m</v>
      </c>
      <c r="C993" s="185">
        <f t="shared" si="31"/>
        <v>5.3864200000000002</v>
      </c>
      <c r="D993" s="409" t="s">
        <v>6794</v>
      </c>
      <c r="E993" s="409" t="s">
        <v>6795</v>
      </c>
      <c r="F993" s="409" t="s">
        <v>6796</v>
      </c>
      <c r="G993" s="409" t="s">
        <v>6797</v>
      </c>
      <c r="H993" s="465">
        <v>94.674999999999997</v>
      </c>
      <c r="I993" s="465">
        <v>5.3864200000000002</v>
      </c>
      <c r="J993" s="465">
        <v>20.319600000000001</v>
      </c>
      <c r="K993" s="465">
        <v>0</v>
      </c>
      <c r="L993" s="464" t="s">
        <v>537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 kolajnička horná biela 2m</v>
      </c>
      <c r="C994" s="185">
        <f t="shared" si="31"/>
        <v>13.513159999999999</v>
      </c>
      <c r="D994" s="409" t="s">
        <v>6798</v>
      </c>
      <c r="E994" s="409" t="s">
        <v>6799</v>
      </c>
      <c r="F994" s="409" t="s">
        <v>6800</v>
      </c>
      <c r="G994" s="409" t="s">
        <v>6801</v>
      </c>
      <c r="H994" s="465">
        <v>347.2</v>
      </c>
      <c r="I994" s="465">
        <v>13.513159999999999</v>
      </c>
      <c r="J994" s="465">
        <v>74.517700000000005</v>
      </c>
      <c r="K994" s="465">
        <v>0</v>
      </c>
      <c r="L994" s="464" t="s">
        <v>537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 kolajnička spodná biela 2m</v>
      </c>
      <c r="C995" s="185">
        <f t="shared" si="31"/>
        <v>6.1231499999999999</v>
      </c>
      <c r="D995" s="409" t="s">
        <v>6802</v>
      </c>
      <c r="E995" s="409" t="s">
        <v>6803</v>
      </c>
      <c r="F995" s="409" t="s">
        <v>6804</v>
      </c>
      <c r="G995" s="409" t="s">
        <v>6805</v>
      </c>
      <c r="H995" s="465">
        <v>157.32499999999999</v>
      </c>
      <c r="I995" s="465">
        <v>6.1231499999999999</v>
      </c>
      <c r="J995" s="465">
        <v>33.765839999999997</v>
      </c>
      <c r="K995" s="465">
        <v>0</v>
      </c>
      <c r="L995" s="464" t="s">
        <v>537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lišta vodiaca biela 2,4m</v>
      </c>
      <c r="C996" s="185">
        <f t="shared" si="31"/>
        <v>4.1764200000000002</v>
      </c>
      <c r="D996" s="409" t="s">
        <v>6806</v>
      </c>
      <c r="E996" s="409" t="s">
        <v>6807</v>
      </c>
      <c r="F996" s="409" t="s">
        <v>6808</v>
      </c>
      <c r="G996" s="409" t="s">
        <v>6809</v>
      </c>
      <c r="H996" s="465">
        <v>73.5</v>
      </c>
      <c r="I996" s="465">
        <v>4.1764200000000002</v>
      </c>
      <c r="J996" s="465">
        <v>15.77492</v>
      </c>
      <c r="K996" s="465">
        <v>0</v>
      </c>
      <c r="L996" s="464" t="s">
        <v>537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deliaci profil biela 2,75 m</v>
      </c>
      <c r="C997" s="185">
        <f t="shared" si="31"/>
        <v>8.7431699999999992</v>
      </c>
      <c r="D997" s="409" t="s">
        <v>6810</v>
      </c>
      <c r="E997" s="409" t="s">
        <v>6811</v>
      </c>
      <c r="F997" s="409" t="s">
        <v>6812</v>
      </c>
      <c r="G997" s="409" t="s">
        <v>6813</v>
      </c>
      <c r="H997" s="465">
        <v>153.47499999999999</v>
      </c>
      <c r="I997" s="465">
        <v>8.7431699999999992</v>
      </c>
      <c r="J997" s="465">
        <v>32.939520000000002</v>
      </c>
      <c r="K997" s="465">
        <v>0</v>
      </c>
      <c r="L997" s="464" t="s">
        <v>537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IC-polohovač posuvných dverí transparentný</v>
      </c>
      <c r="C998" s="185">
        <f t="shared" si="31"/>
        <v>0.68696999999999997</v>
      </c>
      <c r="D998" s="409" t="s">
        <v>6814</v>
      </c>
      <c r="E998" s="409" t="s">
        <v>6815</v>
      </c>
      <c r="F998" s="409" t="s">
        <v>6816</v>
      </c>
      <c r="G998" s="409" t="s">
        <v>6817</v>
      </c>
      <c r="H998" s="465">
        <v>11.025</v>
      </c>
      <c r="I998" s="465">
        <v>0.68696999999999997</v>
      </c>
      <c r="J998" s="465">
        <v>2.3662399999999999</v>
      </c>
      <c r="K998" s="465">
        <v>0</v>
      </c>
      <c r="L998" s="464" t="s">
        <v>537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imbusový kľúč SEVROLL</v>
      </c>
      <c r="C999" s="185">
        <f t="shared" si="31"/>
        <v>4.0335000000000001</v>
      </c>
      <c r="D999" s="409" t="s">
        <v>1276</v>
      </c>
      <c r="E999" s="409" t="s">
        <v>1728</v>
      </c>
      <c r="F999" s="409" t="s">
        <v>2147</v>
      </c>
      <c r="G999" s="409" t="s">
        <v>2312</v>
      </c>
      <c r="H999" s="465">
        <v>112.18095</v>
      </c>
      <c r="I999" s="465">
        <v>4.0335000000000001</v>
      </c>
      <c r="J999" s="465">
        <v>13.870189999999999</v>
      </c>
      <c r="K999" s="465">
        <v>1607.6058700000001</v>
      </c>
      <c r="L999" s="464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úchytová lišta 18mm 2,70m biely lesk</v>
      </c>
      <c r="C1000" s="185">
        <f t="shared" si="31"/>
        <v>15.89981</v>
      </c>
      <c r="D1000" s="409" t="s">
        <v>1277</v>
      </c>
      <c r="E1000" s="409" t="s">
        <v>1729</v>
      </c>
      <c r="F1000" s="409" t="s">
        <v>5738</v>
      </c>
      <c r="G1000" s="409" t="s">
        <v>5739</v>
      </c>
      <c r="H1000" s="465">
        <v>437.43795999999998</v>
      </c>
      <c r="I1000" s="465">
        <v>15.89981</v>
      </c>
      <c r="J1000" s="465">
        <v>55.817450000000001</v>
      </c>
      <c r="K1000" s="465">
        <v>6465.3587500000003</v>
      </c>
      <c r="L1000" s="464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úchytová lišta 2,7m strieborná</v>
      </c>
      <c r="C1001" s="185">
        <f t="shared" si="31"/>
        <v>14.54663</v>
      </c>
      <c r="D1001" s="409" t="s">
        <v>1278</v>
      </c>
      <c r="E1001" s="409" t="s">
        <v>1730</v>
      </c>
      <c r="F1001" s="409" t="s">
        <v>5740</v>
      </c>
      <c r="G1001" s="409" t="s">
        <v>2313</v>
      </c>
      <c r="H1001" s="465">
        <v>404.57512000000003</v>
      </c>
      <c r="I1001" s="465">
        <v>14.54663</v>
      </c>
      <c r="J1001" s="465">
        <v>57.018000000000001</v>
      </c>
      <c r="K1001" s="465">
        <v>5797.7521299999999</v>
      </c>
      <c r="L1001" s="464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úchytová lišta 2,7m oliva</v>
      </c>
      <c r="C1002" s="185">
        <f t="shared" si="31"/>
        <v>18.24184</v>
      </c>
      <c r="D1002" s="409" t="s">
        <v>1279</v>
      </c>
      <c r="E1002" s="409" t="s">
        <v>1731</v>
      </c>
      <c r="F1002" s="409" t="s">
        <v>1279</v>
      </c>
      <c r="G1002" s="409" t="s">
        <v>2314</v>
      </c>
      <c r="H1002" s="465">
        <v>507.34733</v>
      </c>
      <c r="I1002" s="465">
        <v>18.24184</v>
      </c>
      <c r="J1002" s="465">
        <v>63.872399999999999</v>
      </c>
      <c r="K1002" s="465">
        <v>7270.5262599999996</v>
      </c>
      <c r="L1002" s="464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úchytová lišta 2,7m biela lesk</v>
      </c>
      <c r="C1003" s="185">
        <f t="shared" si="31"/>
        <v>18.892410000000002</v>
      </c>
      <c r="D1003" s="409" t="s">
        <v>1280</v>
      </c>
      <c r="E1003" s="409" t="s">
        <v>1732</v>
      </c>
      <c r="F1003" s="409" t="s">
        <v>5741</v>
      </c>
      <c r="G1003" s="409" t="s">
        <v>2315</v>
      </c>
      <c r="H1003" s="465">
        <v>525.44104000000004</v>
      </c>
      <c r="I1003" s="465">
        <v>18.892410000000002</v>
      </c>
      <c r="J1003" s="465">
        <v>74.143799999999999</v>
      </c>
      <c r="K1003" s="465">
        <v>7529.8176999999996</v>
      </c>
      <c r="L1003" s="464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spod.ved. 150mm biela mat</v>
      </c>
      <c r="C1004" s="185">
        <f t="shared" si="31"/>
        <v>0</v>
      </c>
      <c r="D1004" s="409" t="s">
        <v>1281</v>
      </c>
      <c r="E1004" s="409" t="s">
        <v>1733</v>
      </c>
      <c r="F1004" s="409" t="s">
        <v>2148</v>
      </c>
      <c r="G1004" s="409" t="s">
        <v>2316</v>
      </c>
      <c r="H1004" s="465">
        <v>0</v>
      </c>
      <c r="I1004" s="465">
        <v>0</v>
      </c>
      <c r="J1004" s="465">
        <v>0</v>
      </c>
      <c r="K1004" s="465">
        <v>0</v>
      </c>
      <c r="L1004" s="464" t="s">
        <v>539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spodné vedenie 150mm čierna lesk (vzorka)</v>
      </c>
      <c r="C1005" s="185">
        <f t="shared" si="31"/>
        <v>0</v>
      </c>
      <c r="D1005" s="409" t="s">
        <v>1282</v>
      </c>
      <c r="E1005" s="409" t="s">
        <v>1734</v>
      </c>
      <c r="F1005" s="409" t="s">
        <v>5742</v>
      </c>
      <c r="G1005" s="409" t="s">
        <v>2317</v>
      </c>
      <c r="H1005" s="465">
        <v>0</v>
      </c>
      <c r="I1005" s="465">
        <v>0</v>
      </c>
      <c r="J1005" s="465">
        <v>0</v>
      </c>
      <c r="K1005" s="465">
        <v>0</v>
      </c>
      <c r="L1005" s="464" t="s">
        <v>539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nosnosť 170 kg</v>
      </c>
      <c r="C1006" s="185">
        <f t="shared" si="31"/>
        <v>350.37619000000001</v>
      </c>
      <c r="D1006" s="409" t="s">
        <v>6818</v>
      </c>
      <c r="E1006" s="409" t="s">
        <v>6819</v>
      </c>
      <c r="F1006" s="409" t="s">
        <v>6820</v>
      </c>
      <c r="G1006" s="409" t="s">
        <v>6821</v>
      </c>
      <c r="H1006" s="465">
        <v>9615.9746699999996</v>
      </c>
      <c r="I1006" s="465">
        <v>350.37619000000001</v>
      </c>
      <c r="J1006" s="465">
        <v>1430.0105900000001</v>
      </c>
      <c r="K1006" s="465">
        <v>161130.59844</v>
      </c>
      <c r="L1006" s="464" t="s">
        <v>539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spodné vedenie 1,7m čierna mat</v>
      </c>
      <c r="C1007" s="185">
        <f t="shared" si="31"/>
        <v>10.851419999999999</v>
      </c>
      <c r="D1007" s="409" t="s">
        <v>1283</v>
      </c>
      <c r="E1007" s="409" t="s">
        <v>1735</v>
      </c>
      <c r="F1007" s="409" t="s">
        <v>5743</v>
      </c>
      <c r="G1007" s="409" t="s">
        <v>5744</v>
      </c>
      <c r="H1007" s="465">
        <v>301.80291999999997</v>
      </c>
      <c r="I1007" s="465">
        <v>10.851419999999999</v>
      </c>
      <c r="J1007" s="465">
        <v>40.698</v>
      </c>
      <c r="K1007" s="465">
        <v>4324.9779799999997</v>
      </c>
      <c r="L1007" s="464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horné vedenie 1,7m čierna mat</v>
      </c>
      <c r="C1008" s="185">
        <f t="shared" si="31"/>
        <v>18.39798</v>
      </c>
      <c r="D1008" s="409" t="s">
        <v>1284</v>
      </c>
      <c r="E1008" s="409" t="s">
        <v>1736</v>
      </c>
      <c r="F1008" s="409" t="s">
        <v>5745</v>
      </c>
      <c r="G1008" s="409" t="s">
        <v>5746</v>
      </c>
      <c r="H1008" s="465">
        <v>511.68982999999997</v>
      </c>
      <c r="I1008" s="465">
        <v>18.39798</v>
      </c>
      <c r="J1008" s="465">
        <v>74.653800000000004</v>
      </c>
      <c r="K1008" s="465">
        <v>7332.7563300000002</v>
      </c>
      <c r="L1008" s="464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20406 Pax nalepovacia úchytka čierna mat</v>
      </c>
      <c r="C1009" s="185">
        <f t="shared" si="31"/>
        <v>9.5242699999999996</v>
      </c>
      <c r="D1009" s="409" t="s">
        <v>1285</v>
      </c>
      <c r="E1009" s="409" t="s">
        <v>1737</v>
      </c>
      <c r="F1009" s="409" t="s">
        <v>5747</v>
      </c>
      <c r="G1009" s="409" t="s">
        <v>2318</v>
      </c>
      <c r="H1009" s="465">
        <v>264.89177000000001</v>
      </c>
      <c r="I1009" s="465">
        <v>9.5242699999999996</v>
      </c>
      <c r="J1009" s="465">
        <v>32.751550000000002</v>
      </c>
      <c r="K1009" s="465">
        <v>3796.02387</v>
      </c>
      <c r="L1009" s="464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záslepka profilu (4 ks) čierna mat</v>
      </c>
      <c r="C1010" s="185">
        <f t="shared" si="31"/>
        <v>9.0558599999999991</v>
      </c>
      <c r="D1010" s="409" t="s">
        <v>1286</v>
      </c>
      <c r="E1010" s="409" t="s">
        <v>1738</v>
      </c>
      <c r="F1010" s="409" t="s">
        <v>5748</v>
      </c>
      <c r="G1010" s="409" t="s">
        <v>2319</v>
      </c>
      <c r="H1010" s="465">
        <v>267.26607999999999</v>
      </c>
      <c r="I1010" s="465">
        <v>9.0558599999999991</v>
      </c>
      <c r="J1010" s="465">
        <v>34.68</v>
      </c>
      <c r="K1010" s="465">
        <v>3711.62293</v>
      </c>
      <c r="L1010" s="464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profil "U" pro lamino 18mm 3m čierna mat</v>
      </c>
      <c r="C1011" s="185">
        <f t="shared" si="31"/>
        <v>6.1933800000000003</v>
      </c>
      <c r="D1011" s="409" t="s">
        <v>1287</v>
      </c>
      <c r="E1011" s="409" t="s">
        <v>1739</v>
      </c>
      <c r="F1011" s="409" t="s">
        <v>2149</v>
      </c>
      <c r="G1011" s="409" t="s">
        <v>2320</v>
      </c>
      <c r="H1011" s="465">
        <v>172.25201999999999</v>
      </c>
      <c r="I1011" s="465">
        <v>6.1933800000000003</v>
      </c>
      <c r="J1011" s="465">
        <v>27.009599999999999</v>
      </c>
      <c r="K1011" s="465">
        <v>2468.4526700000001</v>
      </c>
      <c r="L1011" s="464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uholník Mini 17x11mm 1,7m čierna mat</v>
      </c>
      <c r="C1012" s="185">
        <f t="shared" si="31"/>
        <v>3.17476</v>
      </c>
      <c r="D1012" s="409" t="s">
        <v>5749</v>
      </c>
      <c r="E1012" s="409" t="s">
        <v>5750</v>
      </c>
      <c r="F1012" s="409" t="s">
        <v>5751</v>
      </c>
      <c r="G1012" s="409" t="s">
        <v>5752</v>
      </c>
      <c r="H1012" s="465">
        <v>88.297250000000005</v>
      </c>
      <c r="I1012" s="465">
        <v>3.17476</v>
      </c>
      <c r="J1012" s="465">
        <v>12.2094</v>
      </c>
      <c r="K1012" s="465">
        <v>1265.3411599999999</v>
      </c>
      <c r="L1012" s="464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spodná krycia lišta 1,7m 10mm čierna mat</v>
      </c>
      <c r="C1013" s="185">
        <f t="shared" si="31"/>
        <v>19.048539999999999</v>
      </c>
      <c r="D1013" s="409" t="s">
        <v>3446</v>
      </c>
      <c r="E1013" s="409" t="s">
        <v>1740</v>
      </c>
      <c r="F1013" s="409" t="s">
        <v>5753</v>
      </c>
      <c r="G1013" s="409" t="s">
        <v>2321</v>
      </c>
      <c r="H1013" s="465">
        <v>529.78351999999995</v>
      </c>
      <c r="I1013" s="465">
        <v>19.048539999999999</v>
      </c>
      <c r="J1013" s="465">
        <v>70.369799999999998</v>
      </c>
      <c r="K1013" s="465">
        <v>7592.0473700000002</v>
      </c>
      <c r="L1013" s="464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spodná krycia lišta 2,35m 10mm čierna mat</v>
      </c>
      <c r="C1014" s="185">
        <f t="shared" si="31"/>
        <v>26.30885</v>
      </c>
      <c r="D1014" s="409" t="s">
        <v>3447</v>
      </c>
      <c r="E1014" s="409" t="s">
        <v>1741</v>
      </c>
      <c r="F1014" s="409" t="s">
        <v>5754</v>
      </c>
      <c r="G1014" s="409" t="s">
        <v>2322</v>
      </c>
      <c r="H1014" s="465">
        <v>731.70920999999998</v>
      </c>
      <c r="I1014" s="465">
        <v>26.30885</v>
      </c>
      <c r="J1014" s="465">
        <v>97.287599999999998</v>
      </c>
      <c r="K1014" s="465">
        <v>10485.73761</v>
      </c>
      <c r="L1014" s="464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spodná krycia lišta 3m 10mm čierna mat</v>
      </c>
      <c r="C1015" s="185">
        <f t="shared" si="31"/>
        <v>33.67324</v>
      </c>
      <c r="D1015" s="409" t="s">
        <v>3448</v>
      </c>
      <c r="E1015" s="409" t="s">
        <v>1742</v>
      </c>
      <c r="F1015" s="409" t="s">
        <v>5755</v>
      </c>
      <c r="G1015" s="409" t="s">
        <v>2323</v>
      </c>
      <c r="H1015" s="465">
        <v>936.52988000000005</v>
      </c>
      <c r="I1015" s="465">
        <v>33.67324</v>
      </c>
      <c r="J1015" s="465">
        <v>124.22580000000001</v>
      </c>
      <c r="K1015" s="465">
        <v>13420.91432</v>
      </c>
      <c r="L1015" s="464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spodná krycia lišta 3m 4mm čierna mat</v>
      </c>
      <c r="C1016" s="185">
        <f t="shared" si="31"/>
        <v>33.82938</v>
      </c>
      <c r="D1016" s="409" t="s">
        <v>3449</v>
      </c>
      <c r="E1016" s="409" t="s">
        <v>1743</v>
      </c>
      <c r="F1016" s="409" t="s">
        <v>5756</v>
      </c>
      <c r="G1016" s="409" t="s">
        <v>2324</v>
      </c>
      <c r="H1016" s="465">
        <v>940.87237000000005</v>
      </c>
      <c r="I1016" s="465">
        <v>33.82938</v>
      </c>
      <c r="J1016" s="465">
        <v>129.11160000000001</v>
      </c>
      <c r="K1016" s="465">
        <v>13483.14436</v>
      </c>
      <c r="L1016" s="464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spodná krycia lišta 3m 4mm biela lesk</v>
      </c>
      <c r="C1017" s="185">
        <f t="shared" si="31"/>
        <v>37.810839999999999</v>
      </c>
      <c r="D1017" s="409" t="s">
        <v>3450</v>
      </c>
      <c r="E1017" s="409" t="s">
        <v>1744</v>
      </c>
      <c r="F1017" s="409" t="s">
        <v>3560</v>
      </c>
      <c r="G1017" s="409" t="s">
        <v>2325</v>
      </c>
      <c r="H1017" s="465">
        <v>1051.60581</v>
      </c>
      <c r="I1017" s="465">
        <v>37.810839999999999</v>
      </c>
      <c r="J1017" s="465">
        <v>145.11539999999999</v>
      </c>
      <c r="K1017" s="465">
        <v>15070.00663</v>
      </c>
      <c r="L1017" s="464" t="s">
        <v>539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spodná krycia lišta 3m 4mm čierna mat</v>
      </c>
      <c r="C1018" s="185">
        <f t="shared" si="31"/>
        <v>37.810839999999999</v>
      </c>
      <c r="D1018" s="409" t="s">
        <v>3451</v>
      </c>
      <c r="E1018" s="409" t="s">
        <v>1745</v>
      </c>
      <c r="F1018" s="409" t="s">
        <v>5757</v>
      </c>
      <c r="G1018" s="409" t="s">
        <v>2326</v>
      </c>
      <c r="H1018" s="465">
        <v>1051.60581</v>
      </c>
      <c r="I1018" s="465">
        <v>37.810839999999999</v>
      </c>
      <c r="J1018" s="465">
        <v>145.11539999999999</v>
      </c>
      <c r="K1018" s="465">
        <v>15070.00663</v>
      </c>
      <c r="L1018" s="464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horná vodiaca lišta 1,7m čierna mat</v>
      </c>
      <c r="C1019" s="185">
        <f t="shared" si="31"/>
        <v>10.487109999999999</v>
      </c>
      <c r="D1019" s="409" t="s">
        <v>1293</v>
      </c>
      <c r="E1019" s="409" t="s">
        <v>1746</v>
      </c>
      <c r="F1019" s="409" t="s">
        <v>5758</v>
      </c>
      <c r="G1019" s="409" t="s">
        <v>2327</v>
      </c>
      <c r="H1019" s="465">
        <v>291.67043000000001</v>
      </c>
      <c r="I1019" s="465">
        <v>10.487109999999999</v>
      </c>
      <c r="J1019" s="465">
        <v>59.986199999999997</v>
      </c>
      <c r="K1019" s="465">
        <v>4179.7746299999999</v>
      </c>
      <c r="L1019" s="464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lišta zvislá Standard javor UP 2,75m</v>
      </c>
      <c r="C1020" s="185">
        <f t="shared" si="31"/>
        <v>4.54298</v>
      </c>
      <c r="D1020" s="409" t="s">
        <v>6822</v>
      </c>
      <c r="E1020" s="409" t="s">
        <v>6823</v>
      </c>
      <c r="F1020" s="409" t="s">
        <v>6824</v>
      </c>
      <c r="G1020" s="409" t="s">
        <v>6825</v>
      </c>
      <c r="H1020" s="465">
        <v>116.72499999999999</v>
      </c>
      <c r="I1020" s="465">
        <v>4.54298</v>
      </c>
      <c r="J1020" s="465">
        <v>25.052060000000001</v>
      </c>
      <c r="K1020" s="465">
        <v>0</v>
      </c>
      <c r="L1020" s="464" t="s">
        <v>537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IC-lišta Standard 10mm javor UP 2,75m</v>
      </c>
      <c r="C1021" s="185">
        <f t="shared" si="31"/>
        <v>4.54298</v>
      </c>
      <c r="D1021" s="409" t="s">
        <v>6826</v>
      </c>
      <c r="E1021" s="409" t="s">
        <v>6827</v>
      </c>
      <c r="F1021" s="409" t="s">
        <v>6826</v>
      </c>
      <c r="G1021" s="409" t="s">
        <v>6828</v>
      </c>
      <c r="H1021" s="465">
        <v>116.72499999999999</v>
      </c>
      <c r="I1021" s="465">
        <v>4.54298</v>
      </c>
      <c r="J1021" s="465">
        <v>25.052060000000001</v>
      </c>
      <c r="K1021" s="465">
        <v>0</v>
      </c>
      <c r="L1021" s="464" t="s">
        <v>537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IC-horné vedenie javor 2m</v>
      </c>
      <c r="C1022" s="185">
        <f t="shared" si="31"/>
        <v>17.31373</v>
      </c>
      <c r="D1022" s="409" t="s">
        <v>6829</v>
      </c>
      <c r="E1022" s="409" t="s">
        <v>6830</v>
      </c>
      <c r="F1022" s="409" t="s">
        <v>6831</v>
      </c>
      <c r="G1022" s="409" t="s">
        <v>6832</v>
      </c>
      <c r="H1022" s="465">
        <v>444.85</v>
      </c>
      <c r="I1022" s="465">
        <v>17.31373</v>
      </c>
      <c r="J1022" s="465">
        <v>95.475800000000007</v>
      </c>
      <c r="K1022" s="465">
        <v>0</v>
      </c>
      <c r="L1022" s="464" t="s">
        <v>537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IC-spodné vedenie javor 2m</v>
      </c>
      <c r="C1023" s="185">
        <f t="shared" si="31"/>
        <v>6.6101400000000003</v>
      </c>
      <c r="D1023" s="409" t="s">
        <v>6833</v>
      </c>
      <c r="E1023" s="409" t="s">
        <v>6834</v>
      </c>
      <c r="F1023" s="409" t="s">
        <v>6835</v>
      </c>
      <c r="G1023" s="409" t="s">
        <v>6836</v>
      </c>
      <c r="H1023" s="465">
        <v>169.83750000000001</v>
      </c>
      <c r="I1023" s="465">
        <v>6.6101400000000003</v>
      </c>
      <c r="J1023" s="465">
        <v>36.451320000000003</v>
      </c>
      <c r="K1023" s="465">
        <v>0</v>
      </c>
      <c r="L1023" s="464" t="s">
        <v>537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vodorovná lišta javor 2,4m</v>
      </c>
      <c r="C1024" s="185">
        <f t="shared" si="31"/>
        <v>3.9708600000000001</v>
      </c>
      <c r="D1024" s="409" t="s">
        <v>6837</v>
      </c>
      <c r="E1024" s="409" t="s">
        <v>6838</v>
      </c>
      <c r="F1024" s="409" t="s">
        <v>6837</v>
      </c>
      <c r="G1024" s="409" t="s">
        <v>6839</v>
      </c>
      <c r="H1024" s="465">
        <v>102.02500000000001</v>
      </c>
      <c r="I1024" s="465">
        <v>3.9708600000000001</v>
      </c>
      <c r="J1024" s="465">
        <v>21.897079999999999</v>
      </c>
      <c r="K1024" s="465">
        <v>0</v>
      </c>
      <c r="L1024" s="464" t="s">
        <v>537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vodorovná lišta javor 2,4m</v>
      </c>
      <c r="C1025" s="185">
        <f t="shared" si="31"/>
        <v>3.9708600000000001</v>
      </c>
      <c r="D1025" s="409" t="s">
        <v>6840</v>
      </c>
      <c r="E1025" s="409" t="s">
        <v>6841</v>
      </c>
      <c r="F1025" s="409" t="s">
        <v>6840</v>
      </c>
      <c r="G1025" s="409" t="s">
        <v>6842</v>
      </c>
      <c r="H1025" s="465">
        <v>102.02500000000001</v>
      </c>
      <c r="I1025" s="465">
        <v>3.9708600000000001</v>
      </c>
      <c r="J1025" s="465">
        <v>21.897079999999999</v>
      </c>
      <c r="K1025" s="465">
        <v>0</v>
      </c>
      <c r="L1025" s="464" t="s">
        <v>537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9" t="e">
        <v>#N/A</v>
      </c>
      <c r="E1026" s="409" t="e">
        <v>#N/A</v>
      </c>
      <c r="F1026" s="409" t="e">
        <v>#N/A</v>
      </c>
      <c r="G1026" s="409" t="e">
        <v>#N/A</v>
      </c>
      <c r="H1026" s="465" t="e">
        <v>#N/A</v>
      </c>
      <c r="I1026" s="465" t="e">
        <v>#N/A</v>
      </c>
      <c r="J1026" s="465" t="e">
        <v>#N/A</v>
      </c>
      <c r="K1026" s="465" t="e">
        <v>#N/A</v>
      </c>
      <c r="L1026" s="464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9" t="e">
        <v>#N/A</v>
      </c>
      <c r="E1027" s="409" t="e">
        <v>#N/A</v>
      </c>
      <c r="F1027" s="409" t="e">
        <v>#N/A</v>
      </c>
      <c r="G1027" s="409" t="e">
        <v>#N/A</v>
      </c>
      <c r="H1027" s="465" t="e">
        <v>#N/A</v>
      </c>
      <c r="I1027" s="465" t="e">
        <v>#N/A</v>
      </c>
      <c r="J1027" s="465" t="e">
        <v>#N/A</v>
      </c>
      <c r="K1027" s="465" t="e">
        <v>#N/A</v>
      </c>
      <c r="L1027" s="464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9" t="e">
        <v>#N/A</v>
      </c>
      <c r="E1028" s="409" t="e">
        <v>#N/A</v>
      </c>
      <c r="F1028" s="409" t="e">
        <v>#N/A</v>
      </c>
      <c r="G1028" s="409" t="e">
        <v>#N/A</v>
      </c>
      <c r="H1028" s="465" t="e">
        <v>#N/A</v>
      </c>
      <c r="I1028" s="465" t="e">
        <v>#N/A</v>
      </c>
      <c r="J1028" s="465" t="e">
        <v>#N/A</v>
      </c>
      <c r="K1028" s="465" t="e">
        <v>#N/A</v>
      </c>
      <c r="L1028" s="464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9" t="e">
        <v>#N/A</v>
      </c>
      <c r="E1029" s="409" t="e">
        <v>#N/A</v>
      </c>
      <c r="F1029" s="409" t="e">
        <v>#N/A</v>
      </c>
      <c r="G1029" s="409" t="e">
        <v>#N/A</v>
      </c>
      <c r="H1029" s="465" t="e">
        <v>#N/A</v>
      </c>
      <c r="I1029" s="465" t="e">
        <v>#N/A</v>
      </c>
      <c r="J1029" s="465" t="e">
        <v>#N/A</v>
      </c>
      <c r="K1029" s="465" t="e">
        <v>#N/A</v>
      </c>
      <c r="L1029" s="464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9" t="e">
        <v>#N/A</v>
      </c>
      <c r="E1030" s="409" t="e">
        <v>#N/A</v>
      </c>
      <c r="F1030" s="409" t="e">
        <v>#N/A</v>
      </c>
      <c r="G1030" s="409" t="e">
        <v>#N/A</v>
      </c>
      <c r="H1030" s="465" t="e">
        <v>#N/A</v>
      </c>
      <c r="I1030" s="465" t="e">
        <v>#N/A</v>
      </c>
      <c r="J1030" s="465" t="e">
        <v>#N/A</v>
      </c>
      <c r="K1030" s="465" t="e">
        <v>#N/A</v>
      </c>
      <c r="L1030" s="464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9" t="e">
        <v>#N/A</v>
      </c>
      <c r="E1031" s="409" t="e">
        <v>#N/A</v>
      </c>
      <c r="F1031" s="409" t="e">
        <v>#N/A</v>
      </c>
      <c r="G1031" s="409" t="e">
        <v>#N/A</v>
      </c>
      <c r="H1031" s="465" t="e">
        <v>#N/A</v>
      </c>
      <c r="I1031" s="465" t="e">
        <v>#N/A</v>
      </c>
      <c r="J1031" s="465" t="e">
        <v>#N/A</v>
      </c>
      <c r="K1031" s="465" t="e">
        <v>#N/A</v>
      </c>
      <c r="L1031" s="464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lišta zvislá široká Classic buk</v>
      </c>
      <c r="C1032" s="185">
        <f t="shared" si="33"/>
        <v>6.5079799999999999</v>
      </c>
      <c r="D1032" s="409" t="s">
        <v>6843</v>
      </c>
      <c r="E1032" s="409" t="s">
        <v>6844</v>
      </c>
      <c r="F1032" s="409" t="s">
        <v>6845</v>
      </c>
      <c r="G1032" s="409" t="s">
        <v>6846</v>
      </c>
      <c r="H1032" s="465">
        <v>167.21250000000001</v>
      </c>
      <c r="I1032" s="465">
        <v>6.5079799999999999</v>
      </c>
      <c r="J1032" s="465">
        <v>35.88794</v>
      </c>
      <c r="K1032" s="465">
        <v>0</v>
      </c>
      <c r="L1032" s="464" t="s">
        <v>537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IC-kolejnička horná buk 3m</v>
      </c>
      <c r="C1033" s="185">
        <f t="shared" si="33"/>
        <v>24.945519999999998</v>
      </c>
      <c r="D1033" s="409" t="s">
        <v>6847</v>
      </c>
      <c r="E1033" s="409" t="s">
        <v>6848</v>
      </c>
      <c r="F1033" s="409" t="s">
        <v>6849</v>
      </c>
      <c r="G1033" s="409" t="s">
        <v>6850</v>
      </c>
      <c r="H1033" s="465">
        <v>640.9375</v>
      </c>
      <c r="I1033" s="465">
        <v>24.945519999999998</v>
      </c>
      <c r="J1033" s="465">
        <v>137.56102000000001</v>
      </c>
      <c r="K1033" s="465">
        <v>0</v>
      </c>
      <c r="L1033" s="464" t="s">
        <v>537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IC-kolejnička spodná buk 3m</v>
      </c>
      <c r="C1034" s="185">
        <f t="shared" si="33"/>
        <v>9.5286899999999992</v>
      </c>
      <c r="D1034" s="409" t="s">
        <v>6851</v>
      </c>
      <c r="E1034" s="409" t="s">
        <v>6852</v>
      </c>
      <c r="F1034" s="409" t="s">
        <v>6853</v>
      </c>
      <c r="G1034" s="409" t="s">
        <v>6854</v>
      </c>
      <c r="H1034" s="465">
        <v>244.82499999999999</v>
      </c>
      <c r="I1034" s="465">
        <v>9.5286899999999992</v>
      </c>
      <c r="J1034" s="465">
        <v>52.545499999999997</v>
      </c>
      <c r="K1034" s="465">
        <v>0</v>
      </c>
      <c r="L1034" s="464" t="s">
        <v>537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vodorovná lišta buk 2,4m</v>
      </c>
      <c r="C1035" s="185">
        <f t="shared" si="33"/>
        <v>3.9708600000000001</v>
      </c>
      <c r="D1035" s="409" t="s">
        <v>6855</v>
      </c>
      <c r="E1035" s="409" t="s">
        <v>6856</v>
      </c>
      <c r="F1035" s="409" t="s">
        <v>6855</v>
      </c>
      <c r="G1035" s="409" t="s">
        <v>6857</v>
      </c>
      <c r="H1035" s="465">
        <v>102.02500000000001</v>
      </c>
      <c r="I1035" s="465">
        <v>3.9708600000000001</v>
      </c>
      <c r="J1035" s="465">
        <v>21.897079999999999</v>
      </c>
      <c r="K1035" s="465">
        <v>0</v>
      </c>
      <c r="L1035" s="464" t="s">
        <v>537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9" t="e">
        <v>#N/A</v>
      </c>
      <c r="E1036" s="409" t="e">
        <v>#N/A</v>
      </c>
      <c r="F1036" s="409" t="e">
        <v>#N/A</v>
      </c>
      <c r="G1036" s="409" t="e">
        <v>#N/A</v>
      </c>
      <c r="H1036" s="465" t="e">
        <v>#N/A</v>
      </c>
      <c r="I1036" s="465" t="e">
        <v>#N/A</v>
      </c>
      <c r="J1036" s="465" t="e">
        <v>#N/A</v>
      </c>
      <c r="K1036" s="465" t="e">
        <v>#N/A</v>
      </c>
      <c r="L1036" s="464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9" t="e">
        <v>#N/A</v>
      </c>
      <c r="E1037" s="409" t="e">
        <v>#N/A</v>
      </c>
      <c r="F1037" s="409" t="e">
        <v>#N/A</v>
      </c>
      <c r="G1037" s="409" t="e">
        <v>#N/A</v>
      </c>
      <c r="H1037" s="465" t="e">
        <v>#N/A</v>
      </c>
      <c r="I1037" s="465" t="e">
        <v>#N/A</v>
      </c>
      <c r="J1037" s="465" t="e">
        <v>#N/A</v>
      </c>
      <c r="K1037" s="465" t="e">
        <v>#N/A</v>
      </c>
      <c r="L1037" s="464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9" t="e">
        <v>#N/A</v>
      </c>
      <c r="E1038" s="409" t="e">
        <v>#N/A</v>
      </c>
      <c r="F1038" s="409" t="e">
        <v>#N/A</v>
      </c>
      <c r="G1038" s="409" t="e">
        <v>#N/A</v>
      </c>
      <c r="H1038" s="465" t="e">
        <v>#N/A</v>
      </c>
      <c r="I1038" s="465" t="e">
        <v>#N/A</v>
      </c>
      <c r="J1038" s="465" t="e">
        <v>#N/A</v>
      </c>
      <c r="K1038" s="465" t="e">
        <v>#N/A</v>
      </c>
      <c r="L1038" s="464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9" t="s">
        <v>6858</v>
      </c>
      <c r="E1039" s="409" t="s">
        <v>6858</v>
      </c>
      <c r="F1039" s="409" t="s">
        <v>6858</v>
      </c>
      <c r="G1039" s="409" t="s">
        <v>6858</v>
      </c>
      <c r="H1039" s="465">
        <v>0</v>
      </c>
      <c r="I1039" s="465">
        <v>0</v>
      </c>
      <c r="J1039" s="465">
        <v>0</v>
      </c>
      <c r="K1039" s="465">
        <v>0</v>
      </c>
      <c r="L1039" s="464" t="s">
        <v>540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9" t="s">
        <v>6859</v>
      </c>
      <c r="E1040" s="409" t="s">
        <v>6859</v>
      </c>
      <c r="F1040" s="409" t="s">
        <v>6859</v>
      </c>
      <c r="G1040" s="409" t="s">
        <v>6859</v>
      </c>
      <c r="H1040" s="465">
        <v>0</v>
      </c>
      <c r="I1040" s="465">
        <v>0</v>
      </c>
      <c r="J1040" s="465">
        <v>0</v>
      </c>
      <c r="K1040" s="465">
        <v>0</v>
      </c>
      <c r="L1040" s="464" t="s">
        <v>540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9" t="e">
        <v>#N/A</v>
      </c>
      <c r="E1041" s="409" t="e">
        <v>#N/A</v>
      </c>
      <c r="F1041" s="409" t="e">
        <v>#N/A</v>
      </c>
      <c r="G1041" s="409" t="e">
        <v>#N/A</v>
      </c>
      <c r="H1041" s="465" t="e">
        <v>#N/A</v>
      </c>
      <c r="I1041" s="465" t="e">
        <v>#N/A</v>
      </c>
      <c r="J1041" s="465" t="e">
        <v>#N/A</v>
      </c>
      <c r="K1041" s="465" t="e">
        <v>#N/A</v>
      </c>
      <c r="L1041" s="464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9" t="e">
        <v>#N/A</v>
      </c>
      <c r="E1042" s="409" t="e">
        <v>#N/A</v>
      </c>
      <c r="F1042" s="409" t="e">
        <v>#N/A</v>
      </c>
      <c r="G1042" s="409" t="e">
        <v>#N/A</v>
      </c>
      <c r="H1042" s="465" t="e">
        <v>#N/A</v>
      </c>
      <c r="I1042" s="465" t="e">
        <v>#N/A</v>
      </c>
      <c r="J1042" s="465" t="e">
        <v>#N/A</v>
      </c>
      <c r="K1042" s="465" t="e">
        <v>#N/A</v>
      </c>
      <c r="L1042" s="464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9" t="e">
        <v>#N/A</v>
      </c>
      <c r="E1043" s="409" t="e">
        <v>#N/A</v>
      </c>
      <c r="F1043" s="409" t="e">
        <v>#N/A</v>
      </c>
      <c r="G1043" s="409" t="e">
        <v>#N/A</v>
      </c>
      <c r="H1043" s="465" t="e">
        <v>#N/A</v>
      </c>
      <c r="I1043" s="465" t="e">
        <v>#N/A</v>
      </c>
      <c r="J1043" s="465" t="e">
        <v>#N/A</v>
      </c>
      <c r="K1043" s="465" t="e">
        <v>#N/A</v>
      </c>
      <c r="L1043" s="464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S-narážací profil 28mm 3,5m strieborný</v>
      </c>
      <c r="C1044" s="185">
        <f t="shared" si="33"/>
        <v>0</v>
      </c>
      <c r="D1044" s="409" t="s">
        <v>6860</v>
      </c>
      <c r="E1044" s="409" t="s">
        <v>6861</v>
      </c>
      <c r="F1044" s="409" t="s">
        <v>6862</v>
      </c>
      <c r="G1044" s="409" t="s">
        <v>68</v>
      </c>
      <c r="H1044" s="465">
        <v>0</v>
      </c>
      <c r="I1044" s="465">
        <v>0</v>
      </c>
      <c r="J1044" s="465">
        <v>0</v>
      </c>
      <c r="K1044" s="465">
        <v>0</v>
      </c>
      <c r="L1044" s="464" t="s">
        <v>540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/>
      </c>
      <c r="C1045" s="185">
        <f t="shared" si="33"/>
        <v>0</v>
      </c>
      <c r="D1045" s="409" t="s">
        <v>1294</v>
      </c>
      <c r="E1045" s="409" t="s">
        <v>1747</v>
      </c>
      <c r="F1045" s="409" t="s">
        <v>68</v>
      </c>
      <c r="G1045" s="409" t="s">
        <v>68</v>
      </c>
      <c r="H1045" s="465">
        <v>0</v>
      </c>
      <c r="I1045" s="465">
        <v>0</v>
      </c>
      <c r="J1045" s="465">
        <v>0</v>
      </c>
      <c r="K1045" s="465">
        <v>0</v>
      </c>
      <c r="L1045" s="464" t="s">
        <v>540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9" t="e">
        <v>#N/A</v>
      </c>
      <c r="E1046" s="409" t="e">
        <v>#N/A</v>
      </c>
      <c r="F1046" s="409" t="e">
        <v>#N/A</v>
      </c>
      <c r="G1046" s="409" t="e">
        <v>#N/A</v>
      </c>
      <c r="H1046" s="465" t="e">
        <v>#N/A</v>
      </c>
      <c r="I1046" s="465" t="e">
        <v>#N/A</v>
      </c>
      <c r="J1046" s="465" t="e">
        <v>#N/A</v>
      </c>
      <c r="K1046" s="465" t="e">
        <v>#N/A</v>
      </c>
      <c r="L1046" s="464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9" t="e">
        <v>#N/A</v>
      </c>
      <c r="E1047" s="409" t="e">
        <v>#N/A</v>
      </c>
      <c r="F1047" s="409" t="e">
        <v>#N/A</v>
      </c>
      <c r="G1047" s="409" t="e">
        <v>#N/A</v>
      </c>
      <c r="H1047" s="465" t="e">
        <v>#N/A</v>
      </c>
      <c r="I1047" s="465" t="e">
        <v>#N/A</v>
      </c>
      <c r="J1047" s="465" t="e">
        <v>#N/A</v>
      </c>
      <c r="K1047" s="465" t="e">
        <v>#N/A</v>
      </c>
      <c r="L1047" s="464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horný vodiaci profil 2,5m strieborný</v>
      </c>
      <c r="C1048" s="185">
        <f t="shared" si="33"/>
        <v>61.852899999999998</v>
      </c>
      <c r="D1048" s="409" t="s">
        <v>6863</v>
      </c>
      <c r="E1048" s="409" t="s">
        <v>6864</v>
      </c>
      <c r="F1048" s="409" t="s">
        <v>6865</v>
      </c>
      <c r="G1048" s="409" t="s">
        <v>6866</v>
      </c>
      <c r="H1048" s="465">
        <v>1514.4317799999999</v>
      </c>
      <c r="I1048" s="465">
        <v>61.852899999999998</v>
      </c>
      <c r="J1048" s="465">
        <v>280.09262000000001</v>
      </c>
      <c r="K1048" s="465">
        <v>26258.292969999999</v>
      </c>
      <c r="L1048" s="464" t="s">
        <v>537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 S30/45 spodný elox 2,5m</v>
      </c>
      <c r="C1049" s="185">
        <f t="shared" si="33"/>
        <v>15.76999</v>
      </c>
      <c r="D1049" s="409" t="s">
        <v>6867</v>
      </c>
      <c r="E1049" s="409" t="s">
        <v>6868</v>
      </c>
      <c r="F1049" s="409" t="s">
        <v>6869</v>
      </c>
      <c r="G1049" s="409" t="s">
        <v>6870</v>
      </c>
      <c r="H1049" s="465">
        <v>386.11934000000002</v>
      </c>
      <c r="I1049" s="465">
        <v>15.76999</v>
      </c>
      <c r="J1049" s="465">
        <v>71.412369999999996</v>
      </c>
      <c r="K1049" s="465">
        <v>6694.8111500000005</v>
      </c>
      <c r="L1049" s="464" t="s">
        <v>537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tlmenie k sade S45 predné</v>
      </c>
      <c r="C1050" s="185">
        <f t="shared" si="33"/>
        <v>15.401809999999999</v>
      </c>
      <c r="D1050" s="409" t="s">
        <v>6871</v>
      </c>
      <c r="E1050" s="409" t="s">
        <v>6872</v>
      </c>
      <c r="F1050" s="409" t="s">
        <v>6873</v>
      </c>
      <c r="G1050" s="409" t="s">
        <v>6874</v>
      </c>
      <c r="H1050" s="465">
        <v>377.10399999999998</v>
      </c>
      <c r="I1050" s="465">
        <v>15.401809999999999</v>
      </c>
      <c r="J1050" s="465">
        <v>69.745009999999994</v>
      </c>
      <c r="K1050" s="465">
        <v>6538.4967699999997</v>
      </c>
      <c r="L1050" s="464" t="s">
        <v>537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tlmenie k sade S45 chrbtovné</v>
      </c>
      <c r="C1051" s="185">
        <f t="shared" si="33"/>
        <v>15.401809999999999</v>
      </c>
      <c r="D1051" s="409" t="s">
        <v>6875</v>
      </c>
      <c r="E1051" s="409" t="s">
        <v>6876</v>
      </c>
      <c r="F1051" s="409" t="s">
        <v>6877</v>
      </c>
      <c r="G1051" s="409" t="s">
        <v>6878</v>
      </c>
      <c r="H1051" s="465">
        <v>377.10399999999998</v>
      </c>
      <c r="I1051" s="465">
        <v>15.401809999999999</v>
      </c>
      <c r="J1051" s="465">
        <v>69.745009999999994</v>
      </c>
      <c r="K1051" s="465">
        <v>6538.4967699999997</v>
      </c>
      <c r="L1051" s="464" t="s">
        <v>537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9" t="e">
        <v>#N/A</v>
      </c>
      <c r="E1052" s="409" t="e">
        <v>#N/A</v>
      </c>
      <c r="F1052" s="409" t="e">
        <v>#N/A</v>
      </c>
      <c r="G1052" s="409" t="e">
        <v>#N/A</v>
      </c>
      <c r="H1052" s="465" t="e">
        <v>#N/A</v>
      </c>
      <c r="I1052" s="465" t="e">
        <v>#N/A</v>
      </c>
      <c r="J1052" s="465" t="e">
        <v>#N/A</v>
      </c>
      <c r="K1052" s="465" t="e">
        <v>#N/A</v>
      </c>
      <c r="L1052" s="464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9" t="e">
        <v>#N/A</v>
      </c>
      <c r="E1053" s="409" t="e">
        <v>#N/A</v>
      </c>
      <c r="F1053" s="409" t="e">
        <v>#N/A</v>
      </c>
      <c r="G1053" s="409" t="e">
        <v>#N/A</v>
      </c>
      <c r="H1053" s="465" t="e">
        <v>#N/A</v>
      </c>
      <c r="I1053" s="465" t="e">
        <v>#N/A</v>
      </c>
      <c r="J1053" s="465" t="e">
        <v>#N/A</v>
      </c>
      <c r="K1053" s="465" t="e">
        <v>#N/A</v>
      </c>
      <c r="L1053" s="464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9" t="e">
        <v>#N/A</v>
      </c>
      <c r="E1054" s="409" t="e">
        <v>#N/A</v>
      </c>
      <c r="F1054" s="409" t="e">
        <v>#N/A</v>
      </c>
      <c r="G1054" s="409" t="e">
        <v>#N/A</v>
      </c>
      <c r="H1054" s="465" t="e">
        <v>#N/A</v>
      </c>
      <c r="I1054" s="465" t="e">
        <v>#N/A</v>
      </c>
      <c r="J1054" s="465" t="e">
        <v>#N/A</v>
      </c>
      <c r="K1054" s="465" t="e">
        <v>#N/A</v>
      </c>
      <c r="L1054" s="464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9" t="e">
        <v>#N/A</v>
      </c>
      <c r="E1055" s="409" t="e">
        <v>#N/A</v>
      </c>
      <c r="F1055" s="409" t="e">
        <v>#N/A</v>
      </c>
      <c r="G1055" s="409" t="e">
        <v>#N/A</v>
      </c>
      <c r="H1055" s="465" t="e">
        <v>#N/A</v>
      </c>
      <c r="I1055" s="465" t="e">
        <v>#N/A</v>
      </c>
      <c r="J1055" s="465" t="e">
        <v>#N/A</v>
      </c>
      <c r="K1055" s="465" t="e">
        <v>#N/A</v>
      </c>
      <c r="L1055" s="464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9" t="e">
        <v>#N/A</v>
      </c>
      <c r="E1056" s="409" t="e">
        <v>#N/A</v>
      </c>
      <c r="F1056" s="409" t="e">
        <v>#N/A</v>
      </c>
      <c r="G1056" s="409" t="e">
        <v>#N/A</v>
      </c>
      <c r="H1056" s="465" t="e">
        <v>#N/A</v>
      </c>
      <c r="I1056" s="465" t="e">
        <v>#N/A</v>
      </c>
      <c r="J1056" s="465" t="e">
        <v>#N/A</v>
      </c>
      <c r="K1056" s="465" t="e">
        <v>#N/A</v>
      </c>
      <c r="L1056" s="464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9" t="e">
        <v>#N/A</v>
      </c>
      <c r="E1057" s="409" t="e">
        <v>#N/A</v>
      </c>
      <c r="F1057" s="409" t="e">
        <v>#N/A</v>
      </c>
      <c r="G1057" s="409" t="e">
        <v>#N/A</v>
      </c>
      <c r="H1057" s="465" t="e">
        <v>#N/A</v>
      </c>
      <c r="I1057" s="465" t="e">
        <v>#N/A</v>
      </c>
      <c r="J1057" s="465" t="e">
        <v>#N/A</v>
      </c>
      <c r="K1057" s="465" t="e">
        <v>#N/A</v>
      </c>
      <c r="L1057" s="464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9" t="e">
        <v>#N/A</v>
      </c>
      <c r="E1058" s="409" t="e">
        <v>#N/A</v>
      </c>
      <c r="F1058" s="409" t="e">
        <v>#N/A</v>
      </c>
      <c r="G1058" s="409" t="e">
        <v>#N/A</v>
      </c>
      <c r="H1058" s="465" t="e">
        <v>#N/A</v>
      </c>
      <c r="I1058" s="465" t="e">
        <v>#N/A</v>
      </c>
      <c r="J1058" s="465" t="e">
        <v>#N/A</v>
      </c>
      <c r="K1058" s="465" t="e">
        <v>#N/A</v>
      </c>
      <c r="L1058" s="464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9" t="e">
        <v>#N/A</v>
      </c>
      <c r="E1059" s="409" t="e">
        <v>#N/A</v>
      </c>
      <c r="F1059" s="409" t="e">
        <v>#N/A</v>
      </c>
      <c r="G1059" s="409" t="e">
        <v>#N/A</v>
      </c>
      <c r="H1059" s="465" t="e">
        <v>#N/A</v>
      </c>
      <c r="I1059" s="465" t="e">
        <v>#N/A</v>
      </c>
      <c r="J1059" s="465" t="e">
        <v>#N/A</v>
      </c>
      <c r="K1059" s="465" t="e">
        <v>#N/A</v>
      </c>
      <c r="L1059" s="464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9" t="e">
        <v>#N/A</v>
      </c>
      <c r="E1060" s="409" t="e">
        <v>#N/A</v>
      </c>
      <c r="F1060" s="409" t="e">
        <v>#N/A</v>
      </c>
      <c r="G1060" s="409" t="e">
        <v>#N/A</v>
      </c>
      <c r="H1060" s="465" t="e">
        <v>#N/A</v>
      </c>
      <c r="I1060" s="465" t="e">
        <v>#N/A</v>
      </c>
      <c r="J1060" s="465" t="e">
        <v>#N/A</v>
      </c>
      <c r="K1060" s="465" t="e">
        <v>#N/A</v>
      </c>
      <c r="L1060" s="464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úchytová lišta 2,7m strieborná</v>
      </c>
      <c r="C1061" s="185">
        <f t="shared" si="33"/>
        <v>24.79954</v>
      </c>
      <c r="D1061" s="409" t="s">
        <v>1295</v>
      </c>
      <c r="E1061" s="409" t="s">
        <v>1748</v>
      </c>
      <c r="F1061" s="409" t="s">
        <v>5759</v>
      </c>
      <c r="G1061" s="409" t="s">
        <v>2328</v>
      </c>
      <c r="H1061" s="465">
        <v>689.73181999999997</v>
      </c>
      <c r="I1061" s="465">
        <v>24.79954</v>
      </c>
      <c r="J1061" s="465">
        <v>94.757999999999996</v>
      </c>
      <c r="K1061" s="465">
        <v>9884.1818800000001</v>
      </c>
      <c r="L1061" s="464" t="s">
        <v>539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9" t="e">
        <v>#N/A</v>
      </c>
      <c r="E1062" s="409" t="e">
        <v>#N/A</v>
      </c>
      <c r="F1062" s="409" t="e">
        <v>#N/A</v>
      </c>
      <c r="G1062" s="409" t="e">
        <v>#N/A</v>
      </c>
      <c r="H1062" s="465" t="e">
        <v>#N/A</v>
      </c>
      <c r="I1062" s="465" t="e">
        <v>#N/A</v>
      </c>
      <c r="J1062" s="465" t="e">
        <v>#N/A</v>
      </c>
      <c r="K1062" s="465" t="e">
        <v>#N/A</v>
      </c>
      <c r="L1062" s="464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9" t="e">
        <v>#N/A</v>
      </c>
      <c r="E1063" s="409" t="e">
        <v>#N/A</v>
      </c>
      <c r="F1063" s="409" t="e">
        <v>#N/A</v>
      </c>
      <c r="G1063" s="409" t="e">
        <v>#N/A</v>
      </c>
      <c r="H1063" s="465" t="e">
        <v>#N/A</v>
      </c>
      <c r="I1063" s="465" t="e">
        <v>#N/A</v>
      </c>
      <c r="J1063" s="465" t="e">
        <v>#N/A</v>
      </c>
      <c r="K1063" s="465" t="e">
        <v>#N/A</v>
      </c>
      <c r="L1063" s="464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9" t="e">
        <v>#N/A</v>
      </c>
      <c r="E1064" s="409" t="e">
        <v>#N/A</v>
      </c>
      <c r="F1064" s="409" t="e">
        <v>#N/A</v>
      </c>
      <c r="G1064" s="409" t="e">
        <v>#N/A</v>
      </c>
      <c r="H1064" s="465" t="e">
        <v>#N/A</v>
      </c>
      <c r="I1064" s="465" t="e">
        <v>#N/A</v>
      </c>
      <c r="J1064" s="465" t="e">
        <v>#N/A</v>
      </c>
      <c r="K1064" s="465" t="e">
        <v>#N/A</v>
      </c>
      <c r="L1064" s="464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9" t="e">
        <v>#N/A</v>
      </c>
      <c r="E1065" s="409" t="e">
        <v>#N/A</v>
      </c>
      <c r="F1065" s="409" t="e">
        <v>#N/A</v>
      </c>
      <c r="G1065" s="409" t="e">
        <v>#N/A</v>
      </c>
      <c r="H1065" s="465" t="e">
        <v>#N/A</v>
      </c>
      <c r="I1065" s="465" t="e">
        <v>#N/A</v>
      </c>
      <c r="J1065" s="465" t="e">
        <v>#N/A</v>
      </c>
      <c r="K1065" s="465" t="e">
        <v>#N/A</v>
      </c>
      <c r="L1065" s="464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napínacia vzpera 2090mm</v>
      </c>
      <c r="C1066" s="185">
        <f t="shared" si="33"/>
        <v>31.3</v>
      </c>
      <c r="D1066" s="409" t="s">
        <v>6879</v>
      </c>
      <c r="E1066" s="409" t="s">
        <v>6880</v>
      </c>
      <c r="F1066" s="409" t="s">
        <v>6881</v>
      </c>
      <c r="G1066" s="409" t="s">
        <v>6882</v>
      </c>
      <c r="H1066" s="465">
        <v>749</v>
      </c>
      <c r="I1066" s="465">
        <v>31.3</v>
      </c>
      <c r="J1066" s="465">
        <v>27.606100000000001</v>
      </c>
      <c r="K1066" s="465">
        <v>2656.3219199999999</v>
      </c>
      <c r="L1066" s="464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Ekonomik úchytová lišta 2,7m strieborná</v>
      </c>
      <c r="C1067" s="185">
        <f t="shared" si="33"/>
        <v>12.41278</v>
      </c>
      <c r="D1067" s="409" t="s">
        <v>1296</v>
      </c>
      <c r="E1067" s="409" t="s">
        <v>1749</v>
      </c>
      <c r="F1067" s="409" t="s">
        <v>5760</v>
      </c>
      <c r="G1067" s="409" t="s">
        <v>2329</v>
      </c>
      <c r="H1067" s="465">
        <v>345.22779000000003</v>
      </c>
      <c r="I1067" s="465">
        <v>12.41278</v>
      </c>
      <c r="J1067" s="465">
        <v>42.68439</v>
      </c>
      <c r="K1067" s="465">
        <v>4947.2769399999997</v>
      </c>
      <c r="L1067" s="464" t="s">
        <v>539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Ekonomik horné vedenie 2m strieborná</v>
      </c>
      <c r="C1068" s="185">
        <f t="shared" si="33"/>
        <v>17.044799999999999</v>
      </c>
      <c r="D1068" s="409" t="s">
        <v>1297</v>
      </c>
      <c r="E1068" s="409" t="s">
        <v>1750</v>
      </c>
      <c r="F1068" s="409" t="s">
        <v>5761</v>
      </c>
      <c r="G1068" s="409" t="s">
        <v>2330</v>
      </c>
      <c r="H1068" s="465">
        <v>474.05493999999999</v>
      </c>
      <c r="I1068" s="465">
        <v>17.044799999999999</v>
      </c>
      <c r="J1068" s="465">
        <v>59.374200000000002</v>
      </c>
      <c r="K1068" s="465">
        <v>6793.4306200000001</v>
      </c>
      <c r="L1068" s="464" t="s">
        <v>539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Ekonomik horné vedenie 3m strieborná</v>
      </c>
      <c r="C1069" s="185">
        <f t="shared" si="33"/>
        <v>25.528169999999999</v>
      </c>
      <c r="D1069" s="409" t="s">
        <v>1298</v>
      </c>
      <c r="E1069" s="409" t="s">
        <v>1751</v>
      </c>
      <c r="F1069" s="409" t="s">
        <v>5762</v>
      </c>
      <c r="G1069" s="409" t="s">
        <v>2331</v>
      </c>
      <c r="H1069" s="465">
        <v>709.99676999999997</v>
      </c>
      <c r="I1069" s="465">
        <v>25.528169999999999</v>
      </c>
      <c r="J1069" s="465">
        <v>89.086799999999997</v>
      </c>
      <c r="K1069" s="465">
        <v>10174.58813</v>
      </c>
      <c r="L1069" s="464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Ekonomik horné vedenie 6m strieborná</v>
      </c>
      <c r="C1070" s="185">
        <f t="shared" si="33"/>
        <v>51.056339999999999</v>
      </c>
      <c r="D1070" s="409" t="s">
        <v>1299</v>
      </c>
      <c r="E1070" s="409" t="s">
        <v>1752</v>
      </c>
      <c r="F1070" s="409" t="s">
        <v>5763</v>
      </c>
      <c r="G1070" s="409" t="s">
        <v>2332</v>
      </c>
      <c r="H1070" s="465">
        <v>1419.99353</v>
      </c>
      <c r="I1070" s="465">
        <v>51.056339999999999</v>
      </c>
      <c r="J1070" s="465">
        <v>178.143</v>
      </c>
      <c r="K1070" s="465">
        <v>20349.17626</v>
      </c>
      <c r="L1070" s="464" t="s">
        <v>539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Ekonomik spodné vedenie 2m strieborná</v>
      </c>
      <c r="C1071" s="185">
        <f t="shared" si="33"/>
        <v>9.3421099999999999</v>
      </c>
      <c r="D1071" s="409" t="s">
        <v>1300</v>
      </c>
      <c r="E1071" s="409" t="s">
        <v>1753</v>
      </c>
      <c r="F1071" s="409" t="s">
        <v>5764</v>
      </c>
      <c r="G1071" s="409" t="s">
        <v>2333</v>
      </c>
      <c r="H1071" s="465">
        <v>259.82553000000001</v>
      </c>
      <c r="I1071" s="465">
        <v>9.3421099999999999</v>
      </c>
      <c r="J1071" s="465">
        <v>32.823599999999999</v>
      </c>
      <c r="K1071" s="465">
        <v>3723.4222199999999</v>
      </c>
      <c r="L1071" s="464" t="s">
        <v>539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Ekonomik spodné vedenie 3m strieborná</v>
      </c>
      <c r="C1072" s="185">
        <f t="shared" si="33"/>
        <v>14.10425</v>
      </c>
      <c r="D1072" s="409" t="s">
        <v>1301</v>
      </c>
      <c r="E1072" s="409" t="s">
        <v>1754</v>
      </c>
      <c r="F1072" s="409" t="s">
        <v>5765</v>
      </c>
      <c r="G1072" s="409" t="s">
        <v>2334</v>
      </c>
      <c r="H1072" s="465">
        <v>392.27140000000003</v>
      </c>
      <c r="I1072" s="465">
        <v>14.10425</v>
      </c>
      <c r="J1072" s="465">
        <v>49.225200000000001</v>
      </c>
      <c r="K1072" s="465">
        <v>5621.4339499999996</v>
      </c>
      <c r="L1072" s="464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str">
        <f t="shared" si="32"/>
        <v>SEVROLL 02895 Ekonomik spodné vedenie 6m strieborná</v>
      </c>
      <c r="C1073" s="185" t="e">
        <f t="shared" si="33"/>
        <v>#N/A</v>
      </c>
      <c r="D1073" s="409" t="s">
        <v>1302</v>
      </c>
      <c r="E1073" s="409" t="s">
        <v>1755</v>
      </c>
      <c r="F1073" s="409" t="s">
        <v>5766</v>
      </c>
      <c r="G1073" s="409" t="s">
        <v>2335</v>
      </c>
      <c r="H1073" s="465" t="e">
        <v>#N/A</v>
      </c>
      <c r="I1073" s="465" t="e">
        <v>#N/A</v>
      </c>
      <c r="J1073" s="465" t="e">
        <v>#N/A</v>
      </c>
      <c r="K1073" s="465" t="e">
        <v>#N/A</v>
      </c>
      <c r="L1073" s="464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9" t="e">
        <v>#N/A</v>
      </c>
      <c r="E1074" s="409" t="e">
        <v>#N/A</v>
      </c>
      <c r="F1074" s="409" t="e">
        <v>#N/A</v>
      </c>
      <c r="G1074" s="409" t="e">
        <v>#N/A</v>
      </c>
      <c r="H1074" s="465" t="e">
        <v>#N/A</v>
      </c>
      <c r="I1074" s="465" t="e">
        <v>#N/A</v>
      </c>
      <c r="J1074" s="465" t="e">
        <v>#N/A</v>
      </c>
      <c r="K1074" s="465" t="e">
        <v>#N/A</v>
      </c>
      <c r="L1074" s="464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horný vozík Ekonomik Duo</v>
      </c>
      <c r="C1075" s="185">
        <f t="shared" si="33"/>
        <v>2.02976</v>
      </c>
      <c r="D1075" s="409" t="s">
        <v>1303</v>
      </c>
      <c r="E1075" s="409" t="s">
        <v>1756</v>
      </c>
      <c r="F1075" s="409" t="s">
        <v>5767</v>
      </c>
      <c r="G1075" s="409" t="s">
        <v>2336</v>
      </c>
      <c r="H1075" s="465">
        <v>59.904470000000003</v>
      </c>
      <c r="I1075" s="465">
        <v>2.02976</v>
      </c>
      <c r="J1075" s="465">
        <v>6.8120000000000003</v>
      </c>
      <c r="K1075" s="465">
        <v>831.91556000000003</v>
      </c>
      <c r="L1075" s="464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spodný vozík Ekonomik WD10V</v>
      </c>
      <c r="C1076" s="185">
        <f t="shared" si="33"/>
        <v>3.4349799999999999</v>
      </c>
      <c r="D1076" s="409" t="s">
        <v>1304</v>
      </c>
      <c r="E1076" s="409" t="s">
        <v>1757</v>
      </c>
      <c r="F1076" s="409" t="s">
        <v>5768</v>
      </c>
      <c r="G1076" s="409" t="s">
        <v>2337</v>
      </c>
      <c r="H1076" s="465">
        <v>101.37678</v>
      </c>
      <c r="I1076" s="465">
        <v>3.4349799999999999</v>
      </c>
      <c r="J1076" s="465">
        <v>11.543100000000001</v>
      </c>
      <c r="K1076" s="465">
        <v>1407.8568700000001</v>
      </c>
      <c r="L1076" s="464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skrutka 2,9x6,5 Ekonomik (100 ks)</v>
      </c>
      <c r="C1077" s="185">
        <f t="shared" si="33"/>
        <v>2.23794</v>
      </c>
      <c r="D1077" s="409" t="s">
        <v>1305</v>
      </c>
      <c r="E1077" s="409" t="s">
        <v>1758</v>
      </c>
      <c r="F1077" s="409" t="s">
        <v>5769</v>
      </c>
      <c r="G1077" s="409" t="s">
        <v>2338</v>
      </c>
      <c r="H1077" s="465">
        <v>66.048519999999996</v>
      </c>
      <c r="I1077" s="465">
        <v>2.23794</v>
      </c>
      <c r="J1077" s="465">
        <v>8.67</v>
      </c>
      <c r="K1077" s="465">
        <v>917.24030000000005</v>
      </c>
      <c r="L1077" s="464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Ekonomik sada kovania pre 2 dvere</v>
      </c>
      <c r="C1078" s="185">
        <f t="shared" si="33"/>
        <v>0</v>
      </c>
      <c r="D1078" s="409" t="s">
        <v>1306</v>
      </c>
      <c r="E1078" s="409" t="s">
        <v>1759</v>
      </c>
      <c r="F1078" s="409" t="s">
        <v>5770</v>
      </c>
      <c r="G1078" s="409" t="s">
        <v>2339</v>
      </c>
      <c r="H1078" s="465">
        <v>0</v>
      </c>
      <c r="I1078" s="465">
        <v>0</v>
      </c>
      <c r="J1078" s="465">
        <v>0</v>
      </c>
      <c r="K1078" s="465">
        <v>0</v>
      </c>
      <c r="L1078" s="464" t="s">
        <v>540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vrut Unix 3x10 zápustná hlava (1000 ks)</v>
      </c>
      <c r="C1079" s="185">
        <f t="shared" si="33"/>
        <v>13.089370000000001</v>
      </c>
      <c r="D1079" s="409" t="s">
        <v>1307</v>
      </c>
      <c r="E1079" s="409" t="s">
        <v>1760</v>
      </c>
      <c r="F1079" s="409" t="s">
        <v>1307</v>
      </c>
      <c r="G1079" s="409" t="s">
        <v>2340</v>
      </c>
      <c r="H1079" s="465">
        <v>386.30698000000001</v>
      </c>
      <c r="I1079" s="465">
        <v>13.089370000000001</v>
      </c>
      <c r="J1079" s="465">
        <v>43.774999999999999</v>
      </c>
      <c r="K1079" s="465">
        <v>5364.7880800000003</v>
      </c>
      <c r="L1079" s="464" t="s">
        <v>539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vrut Unix 3x16mm zápustná hlava (100 ks)</v>
      </c>
      <c r="C1080" s="185">
        <f t="shared" si="33"/>
        <v>1.27511</v>
      </c>
      <c r="D1080" s="409" t="s">
        <v>1308</v>
      </c>
      <c r="E1080" s="409" t="s">
        <v>1761</v>
      </c>
      <c r="F1080" s="409" t="s">
        <v>1308</v>
      </c>
      <c r="G1080" s="409" t="s">
        <v>2341</v>
      </c>
      <c r="H1080" s="465">
        <v>37.632289999999998</v>
      </c>
      <c r="I1080" s="465">
        <v>1.27511</v>
      </c>
      <c r="J1080" s="465">
        <v>4.3362999999999996</v>
      </c>
      <c r="K1080" s="465">
        <v>522.61360999999999</v>
      </c>
      <c r="L1080" s="464" t="s">
        <v>539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podložka Vejárová 3x6mm (100 ks)</v>
      </c>
      <c r="C1081" s="185">
        <f t="shared" si="33"/>
        <v>5.1524700000000001</v>
      </c>
      <c r="D1081" s="409" t="s">
        <v>1309</v>
      </c>
      <c r="E1081" s="409" t="s">
        <v>1762</v>
      </c>
      <c r="F1081" s="409" t="s">
        <v>5771</v>
      </c>
      <c r="G1081" s="409" t="s">
        <v>2342</v>
      </c>
      <c r="H1081" s="465">
        <v>143.30211</v>
      </c>
      <c r="I1081" s="465">
        <v>5.1524700000000001</v>
      </c>
      <c r="J1081" s="465">
        <v>17.718050000000002</v>
      </c>
      <c r="K1081" s="465">
        <v>2053.5866799999999</v>
      </c>
      <c r="L1081" s="464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str">
        <f t="shared" si="32"/>
        <v>SEVROLL 10106 Ekonomik sada kovania pre 3 dvere</v>
      </c>
      <c r="C1082" s="185" t="e">
        <f t="shared" si="33"/>
        <v>#N/A</v>
      </c>
      <c r="D1082" s="409" t="s">
        <v>1310</v>
      </c>
      <c r="E1082" s="409" t="s">
        <v>1763</v>
      </c>
      <c r="F1082" s="409" t="s">
        <v>5772</v>
      </c>
      <c r="G1082" s="409" t="s">
        <v>2343</v>
      </c>
      <c r="H1082" s="465" t="e">
        <v>#N/A</v>
      </c>
      <c r="I1082" s="465" t="e">
        <v>#N/A</v>
      </c>
      <c r="J1082" s="465" t="e">
        <v>#N/A</v>
      </c>
      <c r="K1082" s="465" t="e">
        <v>#N/A</v>
      </c>
      <c r="L1082" s="464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str">
        <f t="shared" si="32"/>
        <v>SEVROLL 214-377 Herkules plus horné vedenie 3m alu</v>
      </c>
      <c r="C1083" s="185" t="e">
        <f t="shared" si="33"/>
        <v>#N/A</v>
      </c>
      <c r="D1083" s="409" t="s">
        <v>1311</v>
      </c>
      <c r="E1083" s="409" t="s">
        <v>1764</v>
      </c>
      <c r="F1083" s="409" t="s">
        <v>5773</v>
      </c>
      <c r="G1083" s="409" t="s">
        <v>2344</v>
      </c>
      <c r="H1083" s="465" t="e">
        <v>#N/A</v>
      </c>
      <c r="I1083" s="465" t="e">
        <v>#N/A</v>
      </c>
      <c r="J1083" s="465" t="e">
        <v>#N/A</v>
      </c>
      <c r="K1083" s="465" t="e">
        <v>#N/A</v>
      </c>
      <c r="L1083" s="464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9" t="e">
        <v>#N/A</v>
      </c>
      <c r="E1084" s="409" t="e">
        <v>#N/A</v>
      </c>
      <c r="F1084" s="409" t="e">
        <v>#N/A</v>
      </c>
      <c r="G1084" s="409" t="e">
        <v>#N/A</v>
      </c>
      <c r="H1084" s="465" t="e">
        <v>#N/A</v>
      </c>
      <c r="I1084" s="465" t="e">
        <v>#N/A</v>
      </c>
      <c r="J1084" s="465" t="e">
        <v>#N/A</v>
      </c>
      <c r="K1084" s="465" t="e">
        <v>#N/A</v>
      </c>
      <c r="L1084" s="464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9" t="e">
        <v>#N/A</v>
      </c>
      <c r="E1085" s="409" t="e">
        <v>#N/A</v>
      </c>
      <c r="F1085" s="409" t="e">
        <v>#N/A</v>
      </c>
      <c r="G1085" s="409" t="e">
        <v>#N/A</v>
      </c>
      <c r="H1085" s="465" t="e">
        <v>#N/A</v>
      </c>
      <c r="I1085" s="465" t="e">
        <v>#N/A</v>
      </c>
      <c r="J1085" s="465" t="e">
        <v>#N/A</v>
      </c>
      <c r="K1085" s="465" t="e">
        <v>#N/A</v>
      </c>
      <c r="L1085" s="464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9" t="e">
        <v>#N/A</v>
      </c>
      <c r="E1086" s="409" t="e">
        <v>#N/A</v>
      </c>
      <c r="F1086" s="409" t="e">
        <v>#N/A</v>
      </c>
      <c r="G1086" s="409" t="e">
        <v>#N/A</v>
      </c>
      <c r="H1086" s="465" t="e">
        <v>#N/A</v>
      </c>
      <c r="I1086" s="465" t="e">
        <v>#N/A</v>
      </c>
      <c r="J1086" s="465" t="e">
        <v>#N/A</v>
      </c>
      <c r="K1086" s="465" t="e">
        <v>#N/A</v>
      </c>
      <c r="L1086" s="464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9" t="e">
        <v>#N/A</v>
      </c>
      <c r="E1087" s="409" t="e">
        <v>#N/A</v>
      </c>
      <c r="F1087" s="409" t="e">
        <v>#N/A</v>
      </c>
      <c r="G1087" s="409" t="e">
        <v>#N/A</v>
      </c>
      <c r="H1087" s="465" t="e">
        <v>#N/A</v>
      </c>
      <c r="I1087" s="465" t="e">
        <v>#N/A</v>
      </c>
      <c r="J1087" s="465" t="e">
        <v>#N/A</v>
      </c>
      <c r="K1087" s="465" t="e">
        <v>#N/A</v>
      </c>
      <c r="L1087" s="464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9" t="e">
        <v>#N/A</v>
      </c>
      <c r="E1088" s="409" t="e">
        <v>#N/A</v>
      </c>
      <c r="F1088" s="409" t="e">
        <v>#N/A</v>
      </c>
      <c r="G1088" s="409" t="e">
        <v>#N/A</v>
      </c>
      <c r="H1088" s="465" t="e">
        <v>#N/A</v>
      </c>
      <c r="I1088" s="465" t="e">
        <v>#N/A</v>
      </c>
      <c r="J1088" s="465" t="e">
        <v>#N/A</v>
      </c>
      <c r="K1088" s="465" t="e">
        <v>#N/A</v>
      </c>
      <c r="L1088" s="464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9" t="e">
        <v>#N/A</v>
      </c>
      <c r="E1089" s="409" t="e">
        <v>#N/A</v>
      </c>
      <c r="F1089" s="409" t="e">
        <v>#N/A</v>
      </c>
      <c r="G1089" s="409" t="e">
        <v>#N/A</v>
      </c>
      <c r="H1089" s="465" t="e">
        <v>#N/A</v>
      </c>
      <c r="I1089" s="465" t="e">
        <v>#N/A</v>
      </c>
      <c r="J1089" s="465" t="e">
        <v>#N/A</v>
      </c>
      <c r="K1089" s="465" t="e">
        <v>#N/A</v>
      </c>
      <c r="L1089" s="464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úchytová lišta 2,7m čierna mat</v>
      </c>
      <c r="C1090" s="185">
        <f t="shared" si="33"/>
        <v>26.90737</v>
      </c>
      <c r="D1090" s="409" t="s">
        <v>1312</v>
      </c>
      <c r="E1090" s="409" t="s">
        <v>1765</v>
      </c>
      <c r="F1090" s="409" t="s">
        <v>5774</v>
      </c>
      <c r="G1090" s="409" t="s">
        <v>2345</v>
      </c>
      <c r="H1090" s="465">
        <v>748.35540000000003</v>
      </c>
      <c r="I1090" s="465">
        <v>26.90737</v>
      </c>
      <c r="J1090" s="465">
        <v>102.67319999999999</v>
      </c>
      <c r="K1090" s="465">
        <v>10724.285449999999</v>
      </c>
      <c r="L1090" s="464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úchytová lišta 3m čierna mat</v>
      </c>
      <c r="C1091" s="185">
        <f t="shared" si="33"/>
        <v>29.89997</v>
      </c>
      <c r="D1091" s="409" t="s">
        <v>1313</v>
      </c>
      <c r="E1091" s="409" t="s">
        <v>1766</v>
      </c>
      <c r="F1091" s="409" t="s">
        <v>5775</v>
      </c>
      <c r="G1091" s="409" t="s">
        <v>2346</v>
      </c>
      <c r="H1091" s="465">
        <v>831.58642999999995</v>
      </c>
      <c r="I1091" s="465">
        <v>29.89997</v>
      </c>
      <c r="J1091" s="465">
        <v>114.07680000000001</v>
      </c>
      <c r="K1091" s="465">
        <v>11917.02533</v>
      </c>
      <c r="L1091" s="464" t="s">
        <v>539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9" t="e">
        <v>#N/A</v>
      </c>
      <c r="E1092" s="409" t="e">
        <v>#N/A</v>
      </c>
      <c r="F1092" s="409" t="e">
        <v>#N/A</v>
      </c>
      <c r="G1092" s="409" t="e">
        <v>#N/A</v>
      </c>
      <c r="H1092" s="465" t="e">
        <v>#N/A</v>
      </c>
      <c r="I1092" s="465" t="e">
        <v>#N/A</v>
      </c>
      <c r="J1092" s="465" t="e">
        <v>#N/A</v>
      </c>
      <c r="K1092" s="465" t="e">
        <v>#N/A</v>
      </c>
      <c r="L1092" s="464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str">
        <f t="shared" si="34"/>
        <v>SEVROLL Porto úchytová lišta 3m strieborn</v>
      </c>
      <c r="C1093" s="185" t="e">
        <f t="shared" si="35"/>
        <v>#N/A</v>
      </c>
      <c r="D1093" s="409" t="s">
        <v>1314</v>
      </c>
      <c r="E1093" s="409" t="s">
        <v>1767</v>
      </c>
      <c r="F1093" s="409" t="s">
        <v>2150</v>
      </c>
      <c r="G1093" s="409" t="s">
        <v>2347</v>
      </c>
      <c r="H1093" s="465" t="e">
        <v>#N/A</v>
      </c>
      <c r="I1093" s="465" t="e">
        <v>#N/A</v>
      </c>
      <c r="J1093" s="465" t="e">
        <v>#N/A</v>
      </c>
      <c r="K1093" s="465" t="e">
        <v>#N/A</v>
      </c>
      <c r="L1093" s="464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str">
        <f t="shared" si="34"/>
        <v>SEVROLL Porto úchytová lišta 3m oliva</v>
      </c>
      <c r="C1094" s="185" t="e">
        <f t="shared" si="35"/>
        <v>#N/A</v>
      </c>
      <c r="D1094" s="409" t="s">
        <v>1315</v>
      </c>
      <c r="E1094" s="409" t="s">
        <v>1768</v>
      </c>
      <c r="F1094" s="409" t="s">
        <v>2151</v>
      </c>
      <c r="G1094" s="409" t="s">
        <v>2348</v>
      </c>
      <c r="H1094" s="465" t="e">
        <v>#N/A</v>
      </c>
      <c r="I1094" s="465" t="e">
        <v>#N/A</v>
      </c>
      <c r="J1094" s="465" t="e">
        <v>#N/A</v>
      </c>
      <c r="K1094" s="465" t="e">
        <v>#N/A</v>
      </c>
      <c r="L1094" s="464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str">
        <f t="shared" si="34"/>
        <v>SEVROLL Maxim horné vedenie 1,8m oliva</v>
      </c>
      <c r="C1095" s="185" t="e">
        <f t="shared" si="35"/>
        <v>#N/A</v>
      </c>
      <c r="D1095" s="409" t="s">
        <v>1316</v>
      </c>
      <c r="E1095" s="409" t="s">
        <v>1769</v>
      </c>
      <c r="F1095" s="409" t="s">
        <v>2152</v>
      </c>
      <c r="G1095" s="409" t="s">
        <v>2349</v>
      </c>
      <c r="H1095" s="465" t="e">
        <v>#N/A</v>
      </c>
      <c r="I1095" s="465" t="e">
        <v>#N/A</v>
      </c>
      <c r="J1095" s="465" t="e">
        <v>#N/A</v>
      </c>
      <c r="K1095" s="465" t="e">
        <v>#N/A</v>
      </c>
      <c r="L1095" s="464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spojovacia lišta H18 3m biela mat</v>
      </c>
      <c r="C1096" s="185">
        <f t="shared" si="35"/>
        <v>15.587540000000001</v>
      </c>
      <c r="D1096" s="409" t="s">
        <v>1317</v>
      </c>
      <c r="E1096" s="409" t="s">
        <v>1770</v>
      </c>
      <c r="F1096" s="409" t="s">
        <v>5776</v>
      </c>
      <c r="G1096" s="409" t="s">
        <v>2350</v>
      </c>
      <c r="H1096" s="465">
        <v>433.52503999999999</v>
      </c>
      <c r="I1096" s="465">
        <v>15.587540000000001</v>
      </c>
      <c r="J1096" s="465">
        <v>62.464799999999997</v>
      </c>
      <c r="K1096" s="465">
        <v>6212.6180999999997</v>
      </c>
      <c r="L1096" s="464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profil "U" pre lamino 18mm 3m biela mat</v>
      </c>
      <c r="C1097" s="185">
        <f t="shared" si="35"/>
        <v>6.1933800000000003</v>
      </c>
      <c r="D1097" s="409" t="s">
        <v>1318</v>
      </c>
      <c r="E1097" s="409" t="s">
        <v>1771</v>
      </c>
      <c r="F1097" s="409" t="s">
        <v>5777</v>
      </c>
      <c r="G1097" s="409" t="s">
        <v>2351</v>
      </c>
      <c r="H1097" s="465">
        <v>172.25201999999999</v>
      </c>
      <c r="I1097" s="465">
        <v>6.1933800000000003</v>
      </c>
      <c r="J1097" s="465">
        <v>27.009599999999999</v>
      </c>
      <c r="K1097" s="465">
        <v>2468.4526700000001</v>
      </c>
      <c r="L1097" s="464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9" t="e">
        <v>#N/A</v>
      </c>
      <c r="E1098" s="409" t="e">
        <v>#N/A</v>
      </c>
      <c r="F1098" s="409" t="e">
        <v>#N/A</v>
      </c>
      <c r="G1098" s="409" t="e">
        <v>#N/A</v>
      </c>
      <c r="H1098" s="465" t="e">
        <v>#N/A</v>
      </c>
      <c r="I1098" s="465" t="e">
        <v>#N/A</v>
      </c>
      <c r="J1098" s="465" t="e">
        <v>#N/A</v>
      </c>
      <c r="K1098" s="465" t="e">
        <v>#N/A</v>
      </c>
      <c r="L1098" s="464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9" t="e">
        <v>#N/A</v>
      </c>
      <c r="E1099" s="409" t="e">
        <v>#N/A</v>
      </c>
      <c r="F1099" s="409" t="e">
        <v>#N/A</v>
      </c>
      <c r="G1099" s="409" t="e">
        <v>#N/A</v>
      </c>
      <c r="H1099" s="465" t="e">
        <v>#N/A</v>
      </c>
      <c r="I1099" s="465" t="e">
        <v>#N/A</v>
      </c>
      <c r="J1099" s="465" t="e">
        <v>#N/A</v>
      </c>
      <c r="K1099" s="465" t="e">
        <v>#N/A</v>
      </c>
      <c r="L1099" s="464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9" t="e">
        <v>#N/A</v>
      </c>
      <c r="E1100" s="409" t="e">
        <v>#N/A</v>
      </c>
      <c r="F1100" s="409" t="e">
        <v>#N/A</v>
      </c>
      <c r="G1100" s="409" t="e">
        <v>#N/A</v>
      </c>
      <c r="H1100" s="465" t="e">
        <v>#N/A</v>
      </c>
      <c r="I1100" s="465" t="e">
        <v>#N/A</v>
      </c>
      <c r="J1100" s="465" t="e">
        <v>#N/A</v>
      </c>
      <c r="K1100" s="465" t="e">
        <v>#N/A</v>
      </c>
      <c r="L1100" s="464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9" t="e">
        <v>#N/A</v>
      </c>
      <c r="E1101" s="409" t="e">
        <v>#N/A</v>
      </c>
      <c r="F1101" s="409" t="e">
        <v>#N/A</v>
      </c>
      <c r="G1101" s="409" t="e">
        <v>#N/A</v>
      </c>
      <c r="H1101" s="465" t="e">
        <v>#N/A</v>
      </c>
      <c r="I1101" s="465" t="e">
        <v>#N/A</v>
      </c>
      <c r="J1101" s="465" t="e">
        <v>#N/A</v>
      </c>
      <c r="K1101" s="465" t="e">
        <v>#N/A</v>
      </c>
      <c r="L1101" s="464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horná lišta alu elox 2m</v>
      </c>
      <c r="C1102" s="185">
        <f t="shared" si="35"/>
        <v>0</v>
      </c>
      <c r="D1102" s="409" t="s">
        <v>6883</v>
      </c>
      <c r="E1102" s="409" t="s">
        <v>6884</v>
      </c>
      <c r="F1102" s="409" t="s">
        <v>6885</v>
      </c>
      <c r="G1102" s="409" t="s">
        <v>6886</v>
      </c>
      <c r="H1102" s="465">
        <v>0</v>
      </c>
      <c r="I1102" s="465">
        <v>0</v>
      </c>
      <c r="J1102" s="465">
        <v>0</v>
      </c>
      <c r="K1102" s="465">
        <v>0</v>
      </c>
      <c r="L1102" s="464" t="s">
        <v>540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lišta dolná alu elox 2m</v>
      </c>
      <c r="C1103" s="185">
        <f t="shared" si="35"/>
        <v>0</v>
      </c>
      <c r="D1103" s="409" t="s">
        <v>6887</v>
      </c>
      <c r="E1103" s="409" t="s">
        <v>6888</v>
      </c>
      <c r="F1103" s="409" t="s">
        <v>6889</v>
      </c>
      <c r="G1103" s="409" t="s">
        <v>6890</v>
      </c>
      <c r="H1103" s="465">
        <v>0</v>
      </c>
      <c r="I1103" s="465">
        <v>0</v>
      </c>
      <c r="J1103" s="465">
        <v>0</v>
      </c>
      <c r="K1103" s="465">
        <v>0</v>
      </c>
      <c r="L1103" s="464" t="s">
        <v>540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S-U profil pro DTD 18mm 3m strieborný</v>
      </c>
      <c r="C1104" s="185">
        <f t="shared" si="35"/>
        <v>0</v>
      </c>
      <c r="D1104" s="409" t="s">
        <v>6891</v>
      </c>
      <c r="E1104" s="409" t="s">
        <v>6892</v>
      </c>
      <c r="F1104" s="409" t="s">
        <v>6893</v>
      </c>
      <c r="G1104" s="409" t="s">
        <v>6894</v>
      </c>
      <c r="H1104" s="465">
        <v>0</v>
      </c>
      <c r="I1104" s="465">
        <v>0</v>
      </c>
      <c r="J1104" s="465">
        <v>0</v>
      </c>
      <c r="K1104" s="465">
        <v>0</v>
      </c>
      <c r="L1104" s="464" t="s">
        <v>540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9" t="e">
        <v>#N/A</v>
      </c>
      <c r="E1105" s="409" t="e">
        <v>#N/A</v>
      </c>
      <c r="F1105" s="409" t="e">
        <v>#N/A</v>
      </c>
      <c r="G1105" s="409" t="e">
        <v>#N/A</v>
      </c>
      <c r="H1105" s="465" t="e">
        <v>#N/A</v>
      </c>
      <c r="I1105" s="465" t="e">
        <v>#N/A</v>
      </c>
      <c r="J1105" s="465" t="e">
        <v>#N/A</v>
      </c>
      <c r="K1105" s="465" t="e">
        <v>#N/A</v>
      </c>
      <c r="L1105" s="464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str">
        <f t="shared" si="34"/>
        <v/>
      </c>
      <c r="C1106" s="185" t="e">
        <f t="shared" si="35"/>
        <v>#N/A</v>
      </c>
      <c r="D1106" s="409" t="s">
        <v>1319</v>
      </c>
      <c r="E1106" s="409" t="s">
        <v>5778</v>
      </c>
      <c r="F1106" s="409" t="s">
        <v>68</v>
      </c>
      <c r="G1106" s="409" t="s">
        <v>5779</v>
      </c>
      <c r="H1106" s="465" t="e">
        <v>#N/A</v>
      </c>
      <c r="I1106" s="465" t="e">
        <v>#N/A</v>
      </c>
      <c r="J1106" s="465" t="e">
        <v>#N/A</v>
      </c>
      <c r="K1106" s="465" t="e">
        <v>#N/A</v>
      </c>
      <c r="L1106" s="464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9" t="e">
        <v>#N/A</v>
      </c>
      <c r="E1107" s="409" t="e">
        <v>#N/A</v>
      </c>
      <c r="F1107" s="409" t="e">
        <v>#N/A</v>
      </c>
      <c r="G1107" s="409" t="e">
        <v>#N/A</v>
      </c>
      <c r="H1107" s="465" t="e">
        <v>#N/A</v>
      </c>
      <c r="I1107" s="465" t="e">
        <v>#N/A</v>
      </c>
      <c r="J1107" s="465" t="e">
        <v>#N/A</v>
      </c>
      <c r="K1107" s="465" t="e">
        <v>#N/A</v>
      </c>
      <c r="L1107" s="464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9" t="e">
        <v>#N/A</v>
      </c>
      <c r="E1108" s="409" t="e">
        <v>#N/A</v>
      </c>
      <c r="F1108" s="409" t="e">
        <v>#N/A</v>
      </c>
      <c r="G1108" s="409" t="e">
        <v>#N/A</v>
      </c>
      <c r="H1108" s="465" t="e">
        <v>#N/A</v>
      </c>
      <c r="I1108" s="465" t="e">
        <v>#N/A</v>
      </c>
      <c r="J1108" s="465" t="e">
        <v>#N/A</v>
      </c>
      <c r="K1108" s="465" t="e">
        <v>#N/A</v>
      </c>
      <c r="L1108" s="464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9" t="e">
        <v>#N/A</v>
      </c>
      <c r="E1109" s="409" t="e">
        <v>#N/A</v>
      </c>
      <c r="F1109" s="409" t="e">
        <v>#N/A</v>
      </c>
      <c r="G1109" s="409" t="e">
        <v>#N/A</v>
      </c>
      <c r="H1109" s="465" t="e">
        <v>#N/A</v>
      </c>
      <c r="I1109" s="465" t="e">
        <v>#N/A</v>
      </c>
      <c r="J1109" s="465" t="e">
        <v>#N/A</v>
      </c>
      <c r="K1109" s="465" t="e">
        <v>#N/A</v>
      </c>
      <c r="L1109" s="464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9" t="e">
        <v>#N/A</v>
      </c>
      <c r="E1110" s="409" t="e">
        <v>#N/A</v>
      </c>
      <c r="F1110" s="409" t="e">
        <v>#N/A</v>
      </c>
      <c r="G1110" s="409" t="e">
        <v>#N/A</v>
      </c>
      <c r="H1110" s="465" t="e">
        <v>#N/A</v>
      </c>
      <c r="I1110" s="465" t="e">
        <v>#N/A</v>
      </c>
      <c r="J1110" s="465" t="e">
        <v>#N/A</v>
      </c>
      <c r="K1110" s="465" t="e">
        <v>#N/A</v>
      </c>
      <c r="L1110" s="464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str">
        <f t="shared" si="34"/>
        <v>SEVROLL spojovacia lišta Simple/Blue H25 3m</v>
      </c>
      <c r="C1111" s="185" t="e">
        <f t="shared" si="35"/>
        <v>#N/A</v>
      </c>
      <c r="D1111" s="409" t="s">
        <v>1320</v>
      </c>
      <c r="E1111" s="409" t="s">
        <v>1772</v>
      </c>
      <c r="F1111" s="409" t="s">
        <v>2153</v>
      </c>
      <c r="G1111" s="409" t="s">
        <v>5780</v>
      </c>
      <c r="H1111" s="465" t="e">
        <v>#N/A</v>
      </c>
      <c r="I1111" s="465" t="e">
        <v>#N/A</v>
      </c>
      <c r="J1111" s="465" t="e">
        <v>#N/A</v>
      </c>
      <c r="K1111" s="465" t="e">
        <v>#N/A</v>
      </c>
      <c r="L1111" s="464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spojovacia lišta Simple/Blue H25 3m</v>
      </c>
      <c r="C1112" s="185">
        <f t="shared" si="35"/>
        <v>0</v>
      </c>
      <c r="D1112" s="409" t="s">
        <v>1321</v>
      </c>
      <c r="E1112" s="409" t="s">
        <v>1772</v>
      </c>
      <c r="F1112" s="409" t="s">
        <v>2153</v>
      </c>
      <c r="G1112" s="409" t="s">
        <v>5781</v>
      </c>
      <c r="H1112" s="465">
        <v>0</v>
      </c>
      <c r="I1112" s="465">
        <v>0</v>
      </c>
      <c r="J1112" s="465">
        <v>44.507080000000002</v>
      </c>
      <c r="K1112" s="465">
        <v>0</v>
      </c>
      <c r="L1112" s="464" t="s">
        <v>539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9" t="e">
        <v>#N/A</v>
      </c>
      <c r="E1113" s="409" t="e">
        <v>#N/A</v>
      </c>
      <c r="F1113" s="409" t="e">
        <v>#N/A</v>
      </c>
      <c r="G1113" s="409" t="e">
        <v>#N/A</v>
      </c>
      <c r="H1113" s="465" t="e">
        <v>#N/A</v>
      </c>
      <c r="I1113" s="465" t="e">
        <v>#N/A</v>
      </c>
      <c r="J1113" s="465" t="e">
        <v>#N/A</v>
      </c>
      <c r="K1113" s="465" t="e">
        <v>#N/A</v>
      </c>
      <c r="L1113" s="464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9" t="e">
        <v>#N/A</v>
      </c>
      <c r="E1114" s="409" t="e">
        <v>#N/A</v>
      </c>
      <c r="F1114" s="409" t="e">
        <v>#N/A</v>
      </c>
      <c r="G1114" s="409" t="e">
        <v>#N/A</v>
      </c>
      <c r="H1114" s="465" t="e">
        <v>#N/A</v>
      </c>
      <c r="I1114" s="465" t="e">
        <v>#N/A</v>
      </c>
      <c r="J1114" s="465" t="e">
        <v>#N/A</v>
      </c>
      <c r="K1114" s="465" t="e">
        <v>#N/A</v>
      </c>
      <c r="L1114" s="464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9" t="e">
        <v>#N/A</v>
      </c>
      <c r="E1115" s="409" t="e">
        <v>#N/A</v>
      </c>
      <c r="F1115" s="409" t="e">
        <v>#N/A</v>
      </c>
      <c r="G1115" s="409" t="e">
        <v>#N/A</v>
      </c>
      <c r="H1115" s="465" t="e">
        <v>#N/A</v>
      </c>
      <c r="I1115" s="465" t="e">
        <v>#N/A</v>
      </c>
      <c r="J1115" s="465" t="e">
        <v>#N/A</v>
      </c>
      <c r="K1115" s="465" t="e">
        <v>#N/A</v>
      </c>
      <c r="L1115" s="464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úchytová lišta 2,7m čierna mat</v>
      </c>
      <c r="C1116" s="185">
        <f t="shared" si="35"/>
        <v>24.560120000000001</v>
      </c>
      <c r="D1116" s="409" t="s">
        <v>1322</v>
      </c>
      <c r="E1116" s="409" t="s">
        <v>1773</v>
      </c>
      <c r="F1116" s="409" t="s">
        <v>5782</v>
      </c>
      <c r="G1116" s="409" t="s">
        <v>2352</v>
      </c>
      <c r="H1116" s="465">
        <v>683.21807999999999</v>
      </c>
      <c r="I1116" s="465">
        <v>24.560120000000001</v>
      </c>
      <c r="J1116" s="465">
        <v>102.67319999999999</v>
      </c>
      <c r="K1116" s="465">
        <v>9790.83698</v>
      </c>
      <c r="L1116" s="464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9" t="e">
        <v>#N/A</v>
      </c>
      <c r="E1117" s="409" t="e">
        <v>#N/A</v>
      </c>
      <c r="F1117" s="409" t="e">
        <v>#N/A</v>
      </c>
      <c r="G1117" s="409" t="e">
        <v>#N/A</v>
      </c>
      <c r="H1117" s="465" t="e">
        <v>#N/A</v>
      </c>
      <c r="I1117" s="465" t="e">
        <v>#N/A</v>
      </c>
      <c r="J1117" s="465" t="e">
        <v>#N/A</v>
      </c>
      <c r="K1117" s="465" t="e">
        <v>#N/A</v>
      </c>
      <c r="L1117" s="464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9" t="e">
        <v>#N/A</v>
      </c>
      <c r="E1118" s="409" t="e">
        <v>#N/A</v>
      </c>
      <c r="F1118" s="409" t="e">
        <v>#N/A</v>
      </c>
      <c r="G1118" s="409" t="e">
        <v>#N/A</v>
      </c>
      <c r="H1118" s="465" t="e">
        <v>#N/A</v>
      </c>
      <c r="I1118" s="465" t="e">
        <v>#N/A</v>
      </c>
      <c r="J1118" s="465" t="e">
        <v>#N/A</v>
      </c>
      <c r="K1118" s="465" t="e">
        <v>#N/A</v>
      </c>
      <c r="L1118" s="464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9" t="e">
        <v>#N/A</v>
      </c>
      <c r="E1119" s="409" t="e">
        <v>#N/A</v>
      </c>
      <c r="F1119" s="409" t="e">
        <v>#N/A</v>
      </c>
      <c r="G1119" s="409" t="e">
        <v>#N/A</v>
      </c>
      <c r="H1119" s="465" t="e">
        <v>#N/A</v>
      </c>
      <c r="I1119" s="465" t="e">
        <v>#N/A</v>
      </c>
      <c r="J1119" s="465" t="e">
        <v>#N/A</v>
      </c>
      <c r="K1119" s="465" t="e">
        <v>#N/A</v>
      </c>
      <c r="L1119" s="464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9" t="e">
        <v>#N/A</v>
      </c>
      <c r="E1120" s="409" t="e">
        <v>#N/A</v>
      </c>
      <c r="F1120" s="409" t="e">
        <v>#N/A</v>
      </c>
      <c r="G1120" s="409" t="e">
        <v>#N/A</v>
      </c>
      <c r="H1120" s="465" t="e">
        <v>#N/A</v>
      </c>
      <c r="I1120" s="465" t="e">
        <v>#N/A</v>
      </c>
      <c r="J1120" s="465" t="e">
        <v>#N/A</v>
      </c>
      <c r="K1120" s="465" t="e">
        <v>#N/A</v>
      </c>
      <c r="L1120" s="464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9" t="e">
        <v>#N/A</v>
      </c>
      <c r="E1121" s="409" t="e">
        <v>#N/A</v>
      </c>
      <c r="F1121" s="409" t="e">
        <v>#N/A</v>
      </c>
      <c r="G1121" s="409" t="e">
        <v>#N/A</v>
      </c>
      <c r="H1121" s="465" t="e">
        <v>#N/A</v>
      </c>
      <c r="I1121" s="465" t="e">
        <v>#N/A</v>
      </c>
      <c r="J1121" s="465" t="e">
        <v>#N/A</v>
      </c>
      <c r="K1121" s="465" t="e">
        <v>#N/A</v>
      </c>
      <c r="L1121" s="464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9" t="e">
        <v>#N/A</v>
      </c>
      <c r="E1122" s="409" t="e">
        <v>#N/A</v>
      </c>
      <c r="F1122" s="409" t="e">
        <v>#N/A</v>
      </c>
      <c r="G1122" s="409" t="e">
        <v>#N/A</v>
      </c>
      <c r="H1122" s="465" t="e">
        <v>#N/A</v>
      </c>
      <c r="I1122" s="465" t="e">
        <v>#N/A</v>
      </c>
      <c r="J1122" s="465" t="e">
        <v>#N/A</v>
      </c>
      <c r="K1122" s="465" t="e">
        <v>#N/A</v>
      </c>
      <c r="L1122" s="464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9" t="e">
        <v>#N/A</v>
      </c>
      <c r="E1123" s="409" t="e">
        <v>#N/A</v>
      </c>
      <c r="F1123" s="409" t="e">
        <v>#N/A</v>
      </c>
      <c r="G1123" s="409" t="e">
        <v>#N/A</v>
      </c>
      <c r="H1123" s="465" t="e">
        <v>#N/A</v>
      </c>
      <c r="I1123" s="465" t="e">
        <v>#N/A</v>
      </c>
      <c r="J1123" s="465" t="e">
        <v>#N/A</v>
      </c>
      <c r="K1123" s="465" t="e">
        <v>#N/A</v>
      </c>
      <c r="L1123" s="464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9" t="e">
        <v>#N/A</v>
      </c>
      <c r="E1124" s="409" t="e">
        <v>#N/A</v>
      </c>
      <c r="F1124" s="409" t="e">
        <v>#N/A</v>
      </c>
      <c r="G1124" s="409" t="e">
        <v>#N/A</v>
      </c>
      <c r="H1124" s="465" t="e">
        <v>#N/A</v>
      </c>
      <c r="I1124" s="465" t="e">
        <v>#N/A</v>
      </c>
      <c r="J1124" s="465" t="e">
        <v>#N/A</v>
      </c>
      <c r="K1124" s="465" t="e">
        <v>#N/A</v>
      </c>
      <c r="L1124" s="464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9" t="e">
        <v>#N/A</v>
      </c>
      <c r="E1125" s="409" t="e">
        <v>#N/A</v>
      </c>
      <c r="F1125" s="409" t="e">
        <v>#N/A</v>
      </c>
      <c r="G1125" s="409" t="e">
        <v>#N/A</v>
      </c>
      <c r="H1125" s="465" t="e">
        <v>#N/A</v>
      </c>
      <c r="I1125" s="465" t="e">
        <v>#N/A</v>
      </c>
      <c r="J1125" s="465" t="e">
        <v>#N/A</v>
      </c>
      <c r="K1125" s="465" t="e">
        <v>#N/A</v>
      </c>
      <c r="L1125" s="464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9" t="e">
        <v>#N/A</v>
      </c>
      <c r="E1126" s="409" t="e">
        <v>#N/A</v>
      </c>
      <c r="F1126" s="409" t="e">
        <v>#N/A</v>
      </c>
      <c r="G1126" s="409" t="e">
        <v>#N/A</v>
      </c>
      <c r="H1126" s="465" t="e">
        <v>#N/A</v>
      </c>
      <c r="I1126" s="465" t="e">
        <v>#N/A</v>
      </c>
      <c r="J1126" s="465" t="e">
        <v>#N/A</v>
      </c>
      <c r="K1126" s="465" t="e">
        <v>#N/A</v>
      </c>
      <c r="L1126" s="464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9" t="e">
        <v>#N/A</v>
      </c>
      <c r="E1127" s="409" t="e">
        <v>#N/A</v>
      </c>
      <c r="F1127" s="409" t="e">
        <v>#N/A</v>
      </c>
      <c r="G1127" s="409" t="e">
        <v>#N/A</v>
      </c>
      <c r="H1127" s="465" t="e">
        <v>#N/A</v>
      </c>
      <c r="I1127" s="465" t="e">
        <v>#N/A</v>
      </c>
      <c r="J1127" s="465" t="e">
        <v>#N/A</v>
      </c>
      <c r="K1127" s="465" t="e">
        <v>#N/A</v>
      </c>
      <c r="L1127" s="464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9" t="e">
        <v>#N/A</v>
      </c>
      <c r="E1128" s="409" t="e">
        <v>#N/A</v>
      </c>
      <c r="F1128" s="409" t="e">
        <v>#N/A</v>
      </c>
      <c r="G1128" s="409" t="e">
        <v>#N/A</v>
      </c>
      <c r="H1128" s="465" t="e">
        <v>#N/A</v>
      </c>
      <c r="I1128" s="465" t="e">
        <v>#N/A</v>
      </c>
      <c r="J1128" s="465" t="e">
        <v>#N/A</v>
      </c>
      <c r="K1128" s="465" t="e">
        <v>#N/A</v>
      </c>
      <c r="L1128" s="464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horný a stredná profil 4/18mm 1,5m strieborný</v>
      </c>
      <c r="C1129" s="185">
        <f t="shared" si="35"/>
        <v>0</v>
      </c>
      <c r="D1129" s="409" t="s">
        <v>6895</v>
      </c>
      <c r="E1129" s="409" t="s">
        <v>6896</v>
      </c>
      <c r="F1129" s="409" t="s">
        <v>6897</v>
      </c>
      <c r="G1129" s="409" t="s">
        <v>68</v>
      </c>
      <c r="H1129" s="465">
        <v>0</v>
      </c>
      <c r="I1129" s="465">
        <v>0</v>
      </c>
      <c r="J1129" s="465">
        <v>0</v>
      </c>
      <c r="K1129" s="465">
        <v>0</v>
      </c>
      <c r="L1129" s="464" t="s">
        <v>540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9" t="e">
        <v>#N/A</v>
      </c>
      <c r="E1130" s="409" t="e">
        <v>#N/A</v>
      </c>
      <c r="F1130" s="409" t="e">
        <v>#N/A</v>
      </c>
      <c r="G1130" s="409" t="e">
        <v>#N/A</v>
      </c>
      <c r="H1130" s="465" t="e">
        <v>#N/A</v>
      </c>
      <c r="I1130" s="465" t="e">
        <v>#N/A</v>
      </c>
      <c r="J1130" s="465" t="e">
        <v>#N/A</v>
      </c>
      <c r="K1130" s="465" t="e">
        <v>#N/A</v>
      </c>
      <c r="L1130" s="464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9" t="e">
        <v>#N/A</v>
      </c>
      <c r="E1131" s="409" t="e">
        <v>#N/A</v>
      </c>
      <c r="F1131" s="409" t="e">
        <v>#N/A</v>
      </c>
      <c r="G1131" s="409" t="e">
        <v>#N/A</v>
      </c>
      <c r="H1131" s="465" t="e">
        <v>#N/A</v>
      </c>
      <c r="I1131" s="465" t="e">
        <v>#N/A</v>
      </c>
      <c r="J1131" s="465" t="e">
        <v>#N/A</v>
      </c>
      <c r="K1131" s="465" t="e">
        <v>#N/A</v>
      </c>
      <c r="L1131" s="464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9" t="e">
        <v>#N/A</v>
      </c>
      <c r="E1132" s="409" t="e">
        <v>#N/A</v>
      </c>
      <c r="F1132" s="409" t="e">
        <v>#N/A</v>
      </c>
      <c r="G1132" s="409" t="e">
        <v>#N/A</v>
      </c>
      <c r="H1132" s="465" t="e">
        <v>#N/A</v>
      </c>
      <c r="I1132" s="465" t="e">
        <v>#N/A</v>
      </c>
      <c r="J1132" s="465" t="e">
        <v>#N/A</v>
      </c>
      <c r="K1132" s="465" t="e">
        <v>#N/A</v>
      </c>
      <c r="L1132" s="464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9" t="e">
        <v>#N/A</v>
      </c>
      <c r="E1133" s="409" t="e">
        <v>#N/A</v>
      </c>
      <c r="F1133" s="409" t="e">
        <v>#N/A</v>
      </c>
      <c r="G1133" s="409" t="e">
        <v>#N/A</v>
      </c>
      <c r="H1133" s="465" t="e">
        <v>#N/A</v>
      </c>
      <c r="I1133" s="465" t="e">
        <v>#N/A</v>
      </c>
      <c r="J1133" s="465" t="e">
        <v>#N/A</v>
      </c>
      <c r="K1133" s="465" t="e">
        <v>#N/A</v>
      </c>
      <c r="L1133" s="464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9" t="e">
        <v>#N/A</v>
      </c>
      <c r="E1134" s="409" t="e">
        <v>#N/A</v>
      </c>
      <c r="F1134" s="409" t="e">
        <v>#N/A</v>
      </c>
      <c r="G1134" s="409" t="e">
        <v>#N/A</v>
      </c>
      <c r="H1134" s="465" t="e">
        <v>#N/A</v>
      </c>
      <c r="I1134" s="465" t="e">
        <v>#N/A</v>
      </c>
      <c r="J1134" s="465" t="e">
        <v>#N/A</v>
      </c>
      <c r="K1134" s="465" t="e">
        <v>#N/A</v>
      </c>
      <c r="L1134" s="464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9" t="e">
        <v>#N/A</v>
      </c>
      <c r="E1135" s="409" t="e">
        <v>#N/A</v>
      </c>
      <c r="F1135" s="409" t="e">
        <v>#N/A</v>
      </c>
      <c r="G1135" s="409" t="e">
        <v>#N/A</v>
      </c>
      <c r="H1135" s="465" t="e">
        <v>#N/A</v>
      </c>
      <c r="I1135" s="465" t="e">
        <v>#N/A</v>
      </c>
      <c r="J1135" s="465" t="e">
        <v>#N/A</v>
      </c>
      <c r="K1135" s="465" t="e">
        <v>#N/A</v>
      </c>
      <c r="L1135" s="464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9" t="e">
        <v>#N/A</v>
      </c>
      <c r="E1136" s="409" t="e">
        <v>#N/A</v>
      </c>
      <c r="F1136" s="409" t="e">
        <v>#N/A</v>
      </c>
      <c r="G1136" s="409" t="e">
        <v>#N/A</v>
      </c>
      <c r="H1136" s="465" t="e">
        <v>#N/A</v>
      </c>
      <c r="I1136" s="465" t="e">
        <v>#N/A</v>
      </c>
      <c r="J1136" s="465" t="e">
        <v>#N/A</v>
      </c>
      <c r="K1136" s="465" t="e">
        <v>#N/A</v>
      </c>
      <c r="L1136" s="464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9" t="e">
        <v>#N/A</v>
      </c>
      <c r="E1137" s="409" t="e">
        <v>#N/A</v>
      </c>
      <c r="F1137" s="409" t="e">
        <v>#N/A</v>
      </c>
      <c r="G1137" s="409" t="e">
        <v>#N/A</v>
      </c>
      <c r="H1137" s="465" t="e">
        <v>#N/A</v>
      </c>
      <c r="I1137" s="465" t="e">
        <v>#N/A</v>
      </c>
      <c r="J1137" s="465" t="e">
        <v>#N/A</v>
      </c>
      <c r="K1137" s="465" t="e">
        <v>#N/A</v>
      </c>
      <c r="L1137" s="464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S-deliací profil "H" 2m strieborný</v>
      </c>
      <c r="C1138" s="185">
        <f t="shared" si="35"/>
        <v>0</v>
      </c>
      <c r="D1138" s="409" t="s">
        <v>6898</v>
      </c>
      <c r="E1138" s="409" t="s">
        <v>6899</v>
      </c>
      <c r="F1138" s="409" t="s">
        <v>6900</v>
      </c>
      <c r="G1138" s="409" t="s">
        <v>68</v>
      </c>
      <c r="H1138" s="465">
        <v>0</v>
      </c>
      <c r="I1138" s="465">
        <v>0</v>
      </c>
      <c r="J1138" s="465">
        <v>0</v>
      </c>
      <c r="K1138" s="465">
        <v>0</v>
      </c>
      <c r="L1138" s="464" t="s">
        <v>540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posuvné interiérové kovanie držiak skla</v>
      </c>
      <c r="C1139" s="185">
        <f t="shared" si="35"/>
        <v>70.517949999999999</v>
      </c>
      <c r="D1139" s="409" t="s">
        <v>6901</v>
      </c>
      <c r="E1139" s="409" t="s">
        <v>6902</v>
      </c>
      <c r="F1139" s="409" t="s">
        <v>6903</v>
      </c>
      <c r="G1139" s="409" t="s">
        <v>68</v>
      </c>
      <c r="H1139" s="465">
        <v>1917.7406800000001</v>
      </c>
      <c r="I1139" s="465">
        <v>70.517949999999999</v>
      </c>
      <c r="J1139" s="465">
        <v>287.80898000000002</v>
      </c>
      <c r="K1139" s="465">
        <v>32429.714220000002</v>
      </c>
      <c r="L1139" s="464" t="s">
        <v>539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Vozík ku kovaniu 1401 vrátane plotničky a vrutov</v>
      </c>
      <c r="C1140" s="185">
        <f t="shared" si="35"/>
        <v>9.1485000000000003</v>
      </c>
      <c r="D1140" s="409" t="s">
        <v>6904</v>
      </c>
      <c r="E1140" s="409" t="s">
        <v>6905</v>
      </c>
      <c r="F1140" s="409" t="s">
        <v>6906</v>
      </c>
      <c r="G1140" s="409" t="s">
        <v>6907</v>
      </c>
      <c r="H1140" s="465">
        <v>227.02481</v>
      </c>
      <c r="I1140" s="465">
        <v>9.1485000000000003</v>
      </c>
      <c r="J1140" s="465">
        <v>41.494160000000001</v>
      </c>
      <c r="K1140" s="465">
        <v>3992.11895</v>
      </c>
      <c r="L1140" s="464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9" t="e">
        <v>#N/A</v>
      </c>
      <c r="E1141" s="409" t="e">
        <v>#N/A</v>
      </c>
      <c r="F1141" s="409" t="e">
        <v>#N/A</v>
      </c>
      <c r="G1141" s="409" t="e">
        <v>#N/A</v>
      </c>
      <c r="H1141" s="465" t="e">
        <v>#N/A</v>
      </c>
      <c r="I1141" s="465" t="e">
        <v>#N/A</v>
      </c>
      <c r="J1141" s="465" t="e">
        <v>#N/A</v>
      </c>
      <c r="K1141" s="465" t="e">
        <v>#N/A</v>
      </c>
      <c r="L1141" s="464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S-kartáč dorazový nízky 6,2x5mm šedý</v>
      </c>
      <c r="C1142" s="185">
        <f t="shared" si="35"/>
        <v>0.35679</v>
      </c>
      <c r="D1142" s="409" t="s">
        <v>6908</v>
      </c>
      <c r="E1142" s="409" t="s">
        <v>6909</v>
      </c>
      <c r="F1142" s="409" t="s">
        <v>6910</v>
      </c>
      <c r="G1142" s="409" t="s">
        <v>6911</v>
      </c>
      <c r="H1142" s="465">
        <v>8.7360000000000007</v>
      </c>
      <c r="I1142" s="465">
        <v>0.35679</v>
      </c>
      <c r="J1142" s="465">
        <v>1.61571</v>
      </c>
      <c r="K1142" s="465">
        <v>151.47095999999999</v>
      </c>
      <c r="L1142" s="464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S-S06NN krycí profil alu 2,5m strieb</v>
      </c>
      <c r="C1143" s="185">
        <f t="shared" si="35"/>
        <v>0</v>
      </c>
      <c r="D1143" s="409" t="s">
        <v>6912</v>
      </c>
      <c r="E1143" s="409" t="s">
        <v>6913</v>
      </c>
      <c r="F1143" s="409" t="s">
        <v>6914</v>
      </c>
      <c r="G1143" s="409" t="s">
        <v>6915</v>
      </c>
      <c r="H1143" s="465">
        <v>0</v>
      </c>
      <c r="I1143" s="465">
        <v>0</v>
      </c>
      <c r="J1143" s="465">
        <v>0</v>
      </c>
      <c r="K1143" s="465">
        <v>0</v>
      </c>
      <c r="L1143" s="464" t="s">
        <v>540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S-S06NN krycí profil alu 3m strieb</v>
      </c>
      <c r="C1144" s="185">
        <f t="shared" si="35"/>
        <v>0</v>
      </c>
      <c r="D1144" s="409" t="s">
        <v>6916</v>
      </c>
      <c r="E1144" s="409" t="s">
        <v>6917</v>
      </c>
      <c r="F1144" s="409" t="s">
        <v>6918</v>
      </c>
      <c r="G1144" s="409" t="s">
        <v>6919</v>
      </c>
      <c r="H1144" s="465">
        <v>0</v>
      </c>
      <c r="I1144" s="465">
        <v>0</v>
      </c>
      <c r="J1144" s="465">
        <v>0</v>
      </c>
      <c r="K1144" s="465">
        <v>0</v>
      </c>
      <c r="L1144" s="464" t="s">
        <v>540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S-SALU06 NN-dolný vodiaci profil 2,5 str</v>
      </c>
      <c r="C1145" s="185">
        <f t="shared" si="35"/>
        <v>0</v>
      </c>
      <c r="D1145" s="409" t="s">
        <v>6920</v>
      </c>
      <c r="E1145" s="409" t="s">
        <v>6921</v>
      </c>
      <c r="F1145" s="409" t="s">
        <v>6922</v>
      </c>
      <c r="G1145" s="409" t="s">
        <v>6923</v>
      </c>
      <c r="H1145" s="465">
        <v>0</v>
      </c>
      <c r="I1145" s="465">
        <v>0</v>
      </c>
      <c r="J1145" s="465">
        <v>0</v>
      </c>
      <c r="K1145" s="465">
        <v>0</v>
      </c>
      <c r="L1145" s="464" t="s">
        <v>540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S-SALU06 NN-dolný vodiaci profil 3m str.</v>
      </c>
      <c r="C1146" s="185">
        <f t="shared" si="35"/>
        <v>0</v>
      </c>
      <c r="D1146" s="409" t="s">
        <v>6924</v>
      </c>
      <c r="E1146" s="409" t="s">
        <v>6925</v>
      </c>
      <c r="F1146" s="409" t="s">
        <v>6926</v>
      </c>
      <c r="G1146" s="409" t="s">
        <v>6927</v>
      </c>
      <c r="H1146" s="465">
        <v>0</v>
      </c>
      <c r="I1146" s="465">
        <v>0</v>
      </c>
      <c r="J1146" s="465">
        <v>0</v>
      </c>
      <c r="K1146" s="465">
        <v>0</v>
      </c>
      <c r="L1146" s="464" t="s">
        <v>540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S-brzda pre S06N/S06NN</v>
      </c>
      <c r="C1147" s="185">
        <f t="shared" si="35"/>
        <v>0.53520999999999996</v>
      </c>
      <c r="D1147" s="409" t="s">
        <v>6928</v>
      </c>
      <c r="E1147" s="409" t="s">
        <v>6929</v>
      </c>
      <c r="F1147" s="409" t="s">
        <v>6930</v>
      </c>
      <c r="G1147" s="409" t="s">
        <v>6931</v>
      </c>
      <c r="H1147" s="465">
        <v>13.103999999999999</v>
      </c>
      <c r="I1147" s="465">
        <v>0.53520999999999996</v>
      </c>
      <c r="J1147" s="465">
        <v>2.4235799999999998</v>
      </c>
      <c r="K1147" s="465">
        <v>227.20644999999999</v>
      </c>
      <c r="L1147" s="464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spodný vozík</v>
      </c>
      <c r="C1148" s="185">
        <f t="shared" si="35"/>
        <v>2.3807800000000001</v>
      </c>
      <c r="D1148" s="409" t="s">
        <v>6932</v>
      </c>
      <c r="E1148" s="409" t="s">
        <v>6933</v>
      </c>
      <c r="F1148" s="409" t="s">
        <v>6934</v>
      </c>
      <c r="G1148" s="409" t="s">
        <v>6935</v>
      </c>
      <c r="H1148" s="465">
        <v>62.4</v>
      </c>
      <c r="I1148" s="465">
        <v>2.3807800000000001</v>
      </c>
      <c r="J1148" s="465">
        <v>11.92055</v>
      </c>
      <c r="K1148" s="465">
        <v>1148.67976</v>
      </c>
      <c r="L1148" s="464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 S30/45 spodný elox 2m</v>
      </c>
      <c r="C1149" s="185">
        <f t="shared" si="35"/>
        <v>12.61622</v>
      </c>
      <c r="D1149" s="409" t="s">
        <v>6936</v>
      </c>
      <c r="E1149" s="409" t="s">
        <v>6937</v>
      </c>
      <c r="F1149" s="409" t="s">
        <v>6938</v>
      </c>
      <c r="G1149" s="409" t="s">
        <v>6939</v>
      </c>
      <c r="H1149" s="465">
        <v>340.70400000000001</v>
      </c>
      <c r="I1149" s="465">
        <v>12.61622</v>
      </c>
      <c r="J1149" s="465">
        <v>57.130890000000001</v>
      </c>
      <c r="K1149" s="465">
        <v>5907.3677399999997</v>
      </c>
      <c r="L1149" s="464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S-sada vozíkov S30 pre spodné vedenie S30/45</v>
      </c>
      <c r="C1150" s="185">
        <f t="shared" si="35"/>
        <v>8.9256799999999998</v>
      </c>
      <c r="D1150" s="409" t="s">
        <v>6940</v>
      </c>
      <c r="E1150" s="409" t="s">
        <v>6941</v>
      </c>
      <c r="F1150" s="409" t="s">
        <v>6942</v>
      </c>
      <c r="G1150" s="409" t="s">
        <v>6943</v>
      </c>
      <c r="H1150" s="465">
        <v>233.94149999999999</v>
      </c>
      <c r="I1150" s="465">
        <v>8.9256799999999998</v>
      </c>
      <c r="J1150" s="465">
        <v>16.42643</v>
      </c>
      <c r="K1150" s="465">
        <v>1539.9548500000001</v>
      </c>
      <c r="L1150" s="464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9" t="e">
        <v>#N/A</v>
      </c>
      <c r="E1151" s="409" t="e">
        <v>#N/A</v>
      </c>
      <c r="F1151" s="409" t="e">
        <v>#N/A</v>
      </c>
      <c r="G1151" s="409" t="e">
        <v>#N/A</v>
      </c>
      <c r="H1151" s="465" t="e">
        <v>#N/A</v>
      </c>
      <c r="I1151" s="465" t="e">
        <v>#N/A</v>
      </c>
      <c r="J1151" s="465" t="e">
        <v>#N/A</v>
      </c>
      <c r="K1151" s="465" t="e">
        <v>#N/A</v>
      </c>
      <c r="L1151" s="464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9" t="e">
        <v>#N/A</v>
      </c>
      <c r="E1152" s="409" t="e">
        <v>#N/A</v>
      </c>
      <c r="F1152" s="409" t="e">
        <v>#N/A</v>
      </c>
      <c r="G1152" s="409" t="e">
        <v>#N/A</v>
      </c>
      <c r="H1152" s="465" t="e">
        <v>#N/A</v>
      </c>
      <c r="I1152" s="465" t="e">
        <v>#N/A</v>
      </c>
      <c r="J1152" s="465" t="e">
        <v>#N/A</v>
      </c>
      <c r="K1152" s="465" t="e">
        <v>#N/A</v>
      </c>
      <c r="L1152" s="464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9" t="e">
        <v>#N/A</v>
      </c>
      <c r="E1153" s="409" t="e">
        <v>#N/A</v>
      </c>
      <c r="F1153" s="409" t="e">
        <v>#N/A</v>
      </c>
      <c r="G1153" s="409" t="e">
        <v>#N/A</v>
      </c>
      <c r="H1153" s="465" t="e">
        <v>#N/A</v>
      </c>
      <c r="I1153" s="465" t="e">
        <v>#N/A</v>
      </c>
      <c r="J1153" s="465" t="e">
        <v>#N/A</v>
      </c>
      <c r="K1153" s="465" t="e">
        <v>#N/A</v>
      </c>
      <c r="L1153" s="464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9" t="e">
        <v>#N/A</v>
      </c>
      <c r="E1154" s="409" t="e">
        <v>#N/A</v>
      </c>
      <c r="F1154" s="409" t="e">
        <v>#N/A</v>
      </c>
      <c r="G1154" s="409" t="e">
        <v>#N/A</v>
      </c>
      <c r="H1154" s="465" t="e">
        <v>#N/A</v>
      </c>
      <c r="I1154" s="465" t="e">
        <v>#N/A</v>
      </c>
      <c r="J1154" s="465" t="e">
        <v>#N/A</v>
      </c>
      <c r="K1154" s="465" t="e">
        <v>#N/A</v>
      </c>
      <c r="L1154" s="464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str">
        <f t="shared" si="34"/>
        <v>SEVROLL reklamné dvierko Blue 10 (8ks)</v>
      </c>
      <c r="C1155" s="185" t="e">
        <f t="shared" si="35"/>
        <v>#N/A</v>
      </c>
      <c r="D1155" s="409" t="s">
        <v>1323</v>
      </c>
      <c r="E1155" s="409" t="s">
        <v>1774</v>
      </c>
      <c r="F1155" s="409" t="s">
        <v>2154</v>
      </c>
      <c r="G1155" s="409" t="s">
        <v>2353</v>
      </c>
      <c r="H1155" s="465" t="e">
        <v>#N/A</v>
      </c>
      <c r="I1155" s="465" t="e">
        <v>#N/A</v>
      </c>
      <c r="J1155" s="465" t="e">
        <v>#N/A</v>
      </c>
      <c r="K1155" s="465" t="e">
        <v>#N/A</v>
      </c>
      <c r="L1155" s="464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9" t="e">
        <v>#N/A</v>
      </c>
      <c r="E1156" s="409" t="e">
        <v>#N/A</v>
      </c>
      <c r="F1156" s="409" t="e">
        <v>#N/A</v>
      </c>
      <c r="G1156" s="409" t="e">
        <v>#N/A</v>
      </c>
      <c r="H1156" s="465" t="e">
        <v>#N/A</v>
      </c>
      <c r="I1156" s="465" t="e">
        <v>#N/A</v>
      </c>
      <c r="J1156" s="465" t="e">
        <v>#N/A</v>
      </c>
      <c r="K1156" s="465" t="e">
        <v>#N/A</v>
      </c>
      <c r="L1156" s="464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9" t="e">
        <v>#N/A</v>
      </c>
      <c r="E1157" s="409" t="e">
        <v>#N/A</v>
      </c>
      <c r="F1157" s="409" t="e">
        <v>#N/A</v>
      </c>
      <c r="G1157" s="409" t="e">
        <v>#N/A</v>
      </c>
      <c r="H1157" s="465" t="e">
        <v>#N/A</v>
      </c>
      <c r="I1157" s="465" t="e">
        <v>#N/A</v>
      </c>
      <c r="J1157" s="465" t="e">
        <v>#N/A</v>
      </c>
      <c r="K1157" s="465" t="e">
        <v>#N/A</v>
      </c>
      <c r="L1157" s="464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9" t="e">
        <v>#N/A</v>
      </c>
      <c r="E1158" s="409" t="e">
        <v>#N/A</v>
      </c>
      <c r="F1158" s="409" t="e">
        <v>#N/A</v>
      </c>
      <c r="G1158" s="409" t="e">
        <v>#N/A</v>
      </c>
      <c r="H1158" s="465" t="e">
        <v>#N/A</v>
      </c>
      <c r="I1158" s="465" t="e">
        <v>#N/A</v>
      </c>
      <c r="J1158" s="465" t="e">
        <v>#N/A</v>
      </c>
      <c r="K1158" s="465" t="e">
        <v>#N/A</v>
      </c>
      <c r="L1158" s="464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úchytová lišta 2,7m biela lesk</v>
      </c>
      <c r="C1159" s="185">
        <f t="shared" si="37"/>
        <v>30.472460000000002</v>
      </c>
      <c r="D1159" s="409" t="s">
        <v>1324</v>
      </c>
      <c r="E1159" s="409" t="s">
        <v>1775</v>
      </c>
      <c r="F1159" s="409" t="s">
        <v>5783</v>
      </c>
      <c r="G1159" s="409" t="s">
        <v>2354</v>
      </c>
      <c r="H1159" s="465">
        <v>847.50887999999998</v>
      </c>
      <c r="I1159" s="465">
        <v>30.472460000000002</v>
      </c>
      <c r="J1159" s="465">
        <v>116.8716</v>
      </c>
      <c r="K1159" s="465">
        <v>12145.20156</v>
      </c>
      <c r="L1159" s="464" t="s">
        <v>539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IC-Horná vodiaca lištaEU 10mm 2m šampáň</v>
      </c>
      <c r="C1160" s="185">
        <f t="shared" si="37"/>
        <v>8.61599</v>
      </c>
      <c r="D1160" s="409" t="s">
        <v>6944</v>
      </c>
      <c r="E1160" s="409" t="s">
        <v>6945</v>
      </c>
      <c r="F1160" s="409" t="s">
        <v>6946</v>
      </c>
      <c r="G1160" s="409" t="s">
        <v>6947</v>
      </c>
      <c r="H1160" s="465">
        <v>359.625</v>
      </c>
      <c r="I1160" s="465">
        <v>8.61599</v>
      </c>
      <c r="J1160" s="465">
        <v>47.512540000000001</v>
      </c>
      <c r="K1160" s="465">
        <v>7238.9032200000001</v>
      </c>
      <c r="L1160" s="464" t="s">
        <v>539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IC-spodná krycia lišta EU 10mm 2m šampáň</v>
      </c>
      <c r="C1161" s="185">
        <f t="shared" si="37"/>
        <v>15.862970000000001</v>
      </c>
      <c r="D1161" s="409" t="s">
        <v>6948</v>
      </c>
      <c r="E1161" s="409" t="s">
        <v>6949</v>
      </c>
      <c r="F1161" s="409" t="s">
        <v>6950</v>
      </c>
      <c r="G1161" s="409" t="s">
        <v>6951</v>
      </c>
      <c r="H1161" s="465">
        <v>644.875</v>
      </c>
      <c r="I1161" s="465">
        <v>15.862970000000001</v>
      </c>
      <c r="J1161" s="465">
        <v>87.475660000000005</v>
      </c>
      <c r="K1161" s="465">
        <v>12980.70967</v>
      </c>
      <c r="L1161" s="464" t="s">
        <v>539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IC-tlumič dorazu univerzálny  EU - 2ks</v>
      </c>
      <c r="C1162" s="185">
        <f t="shared" si="37"/>
        <v>34.115090000000002</v>
      </c>
      <c r="D1162" s="409" t="s">
        <v>6952</v>
      </c>
      <c r="E1162" s="409" t="s">
        <v>6953</v>
      </c>
      <c r="F1162" s="409" t="s">
        <v>6954</v>
      </c>
      <c r="G1162" s="409" t="s">
        <v>6955</v>
      </c>
      <c r="H1162" s="465">
        <v>873.25</v>
      </c>
      <c r="I1162" s="465">
        <v>34.115090000000002</v>
      </c>
      <c r="J1162" s="465">
        <v>202.89614</v>
      </c>
      <c r="K1162" s="465">
        <v>17912.22481</v>
      </c>
      <c r="L1162" s="464" t="s">
        <v>539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 S11 nerez 2,7m</v>
      </c>
      <c r="C1163" s="185">
        <f t="shared" si="37"/>
        <v>38.168889999999998</v>
      </c>
      <c r="D1163" s="409" t="s">
        <v>6956</v>
      </c>
      <c r="E1163" s="409" t="s">
        <v>6957</v>
      </c>
      <c r="F1163" s="409" t="s">
        <v>6956</v>
      </c>
      <c r="G1163" s="409" t="s">
        <v>6958</v>
      </c>
      <c r="H1163" s="465">
        <v>1000.40372</v>
      </c>
      <c r="I1163" s="465">
        <v>38.168889999999998</v>
      </c>
      <c r="J1163" s="465">
        <v>191.11160000000001</v>
      </c>
      <c r="K1163" s="465">
        <v>18415.76108</v>
      </c>
      <c r="L1163" s="464" t="s">
        <v>537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horný vodiaci profil 2,5m nerez</v>
      </c>
      <c r="C1164" s="185">
        <f t="shared" si="37"/>
        <v>39.354010000000002</v>
      </c>
      <c r="D1164" s="409" t="s">
        <v>6959</v>
      </c>
      <c r="E1164" s="409" t="s">
        <v>6960</v>
      </c>
      <c r="F1164" s="409" t="s">
        <v>6961</v>
      </c>
      <c r="G1164" s="409" t="s">
        <v>6962</v>
      </c>
      <c r="H1164" s="465">
        <v>963.56</v>
      </c>
      <c r="I1164" s="465">
        <v>39.354010000000002</v>
      </c>
      <c r="J1164" s="465">
        <v>178.20945</v>
      </c>
      <c r="K1164" s="465">
        <v>16706.88709</v>
      </c>
      <c r="L1164" s="464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spodný profil 2,5m elox nerez</v>
      </c>
      <c r="C1165" s="185">
        <f t="shared" si="37"/>
        <v>21.70524</v>
      </c>
      <c r="D1165" s="409" t="s">
        <v>6963</v>
      </c>
      <c r="E1165" s="409" t="s">
        <v>6964</v>
      </c>
      <c r="F1165" s="409" t="s">
        <v>6965</v>
      </c>
      <c r="G1165" s="409" t="s">
        <v>6966</v>
      </c>
      <c r="H1165" s="465">
        <v>531.44000000000005</v>
      </c>
      <c r="I1165" s="465">
        <v>21.70524</v>
      </c>
      <c r="J1165" s="465">
        <v>98.289280000000005</v>
      </c>
      <c r="K1165" s="465">
        <v>9214.48387</v>
      </c>
      <c r="L1165" s="464" t="s">
        <v>537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krycí profil alu 2,5m nerez</v>
      </c>
      <c r="C1166" s="185">
        <f t="shared" si="37"/>
        <v>4.1626500000000002</v>
      </c>
      <c r="D1166" s="409" t="s">
        <v>6967</v>
      </c>
      <c r="E1166" s="409" t="s">
        <v>6968</v>
      </c>
      <c r="F1166" s="409" t="s">
        <v>6967</v>
      </c>
      <c r="G1166" s="409" t="s">
        <v>6969</v>
      </c>
      <c r="H1166" s="465">
        <v>101.92</v>
      </c>
      <c r="I1166" s="465">
        <v>4.1626500000000002</v>
      </c>
      <c r="J1166" s="465">
        <v>18.850010000000001</v>
      </c>
      <c r="K1166" s="465">
        <v>1767.16128</v>
      </c>
      <c r="L1166" s="464" t="s">
        <v>537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horný a stredný profil 2,5m nerez</v>
      </c>
      <c r="C1167" s="185">
        <f t="shared" si="37"/>
        <v>17.988589999999999</v>
      </c>
      <c r="D1167" s="409" t="s">
        <v>6970</v>
      </c>
      <c r="E1167" s="409" t="s">
        <v>6971</v>
      </c>
      <c r="F1167" s="409" t="s">
        <v>6972</v>
      </c>
      <c r="G1167" s="409" t="s">
        <v>6973</v>
      </c>
      <c r="H1167" s="465">
        <v>440.44</v>
      </c>
      <c r="I1167" s="465">
        <v>17.988589999999999</v>
      </c>
      <c r="J1167" s="465">
        <v>81.458929999999995</v>
      </c>
      <c r="K1167" s="465">
        <v>7636.6612800000003</v>
      </c>
      <c r="L1167" s="464" t="s">
        <v>537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dolný profil 4/18mm 2,5m nerez</v>
      </c>
      <c r="C1168" s="185">
        <f t="shared" si="37"/>
        <v>54.114420000000003</v>
      </c>
      <c r="D1168" s="409" t="s">
        <v>6974</v>
      </c>
      <c r="E1168" s="409" t="s">
        <v>6975</v>
      </c>
      <c r="F1168" s="409" t="s">
        <v>6976</v>
      </c>
      <c r="G1168" s="409" t="s">
        <v>6977</v>
      </c>
      <c r="H1168" s="465">
        <v>1324.96</v>
      </c>
      <c r="I1168" s="465">
        <v>54.114420000000003</v>
      </c>
      <c r="J1168" s="465">
        <v>245.05000999999999</v>
      </c>
      <c r="K1168" s="465">
        <v>22973.09677</v>
      </c>
      <c r="L1168" s="464" t="s">
        <v>537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horné vedenie 1,7m biely mat</v>
      </c>
      <c r="C1169" s="185">
        <f t="shared" si="37"/>
        <v>18.39798</v>
      </c>
      <c r="D1169" s="409" t="s">
        <v>1325</v>
      </c>
      <c r="E1169" s="409" t="s">
        <v>1776</v>
      </c>
      <c r="F1169" s="409" t="s">
        <v>5784</v>
      </c>
      <c r="G1169" s="409" t="s">
        <v>5785</v>
      </c>
      <c r="H1169" s="465">
        <v>511.68982999999997</v>
      </c>
      <c r="I1169" s="465">
        <v>18.39798</v>
      </c>
      <c r="J1169" s="465">
        <v>74.653800000000004</v>
      </c>
      <c r="K1169" s="465">
        <v>7332.7563300000002</v>
      </c>
      <c r="L1169" s="464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horné vedenie 2,35m biela mat</v>
      </c>
      <c r="C1170" s="185">
        <f t="shared" si="37"/>
        <v>25.450099999999999</v>
      </c>
      <c r="D1170" s="409" t="s">
        <v>1326</v>
      </c>
      <c r="E1170" s="409" t="s">
        <v>1777</v>
      </c>
      <c r="F1170" s="409" t="s">
        <v>5786</v>
      </c>
      <c r="G1170" s="409" t="s">
        <v>5787</v>
      </c>
      <c r="H1170" s="465">
        <v>707.82552999999996</v>
      </c>
      <c r="I1170" s="465">
        <v>25.450099999999999</v>
      </c>
      <c r="J1170" s="465">
        <v>103.20359999999999</v>
      </c>
      <c r="K1170" s="465">
        <v>10143.473319999999</v>
      </c>
      <c r="L1170" s="464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horné vedenie 4,05m biela mat</v>
      </c>
      <c r="C1171" s="185">
        <f t="shared" si="37"/>
        <v>43.848080000000003</v>
      </c>
      <c r="D1171" s="409" t="s">
        <v>1327</v>
      </c>
      <c r="E1171" s="409" t="s">
        <v>1778</v>
      </c>
      <c r="F1171" s="409" t="s">
        <v>5788</v>
      </c>
      <c r="G1171" s="409" t="s">
        <v>5789</v>
      </c>
      <c r="H1171" s="465">
        <v>1219.5153600000001</v>
      </c>
      <c r="I1171" s="465">
        <v>43.848080000000003</v>
      </c>
      <c r="J1171" s="465">
        <v>177.9186</v>
      </c>
      <c r="K1171" s="465">
        <v>17476.229630000002</v>
      </c>
      <c r="L1171" s="464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horné vedenie 6m biela mat</v>
      </c>
      <c r="C1172" s="185">
        <f t="shared" si="37"/>
        <v>64.95241</v>
      </c>
      <c r="D1172" s="409" t="s">
        <v>1328</v>
      </c>
      <c r="E1172" s="409" t="s">
        <v>1779</v>
      </c>
      <c r="F1172" s="409" t="s">
        <v>5790</v>
      </c>
      <c r="G1172" s="409" t="s">
        <v>2355</v>
      </c>
      <c r="H1172" s="465">
        <v>1806.47497</v>
      </c>
      <c r="I1172" s="465">
        <v>64.95241</v>
      </c>
      <c r="J1172" s="465">
        <v>263.56799999999998</v>
      </c>
      <c r="K1172" s="465">
        <v>25887.637350000001</v>
      </c>
      <c r="L1172" s="464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uholník Mini 17x11mm 1,7m biely mat</v>
      </c>
      <c r="C1173" s="185">
        <f t="shared" si="37"/>
        <v>3.17476</v>
      </c>
      <c r="D1173" s="409" t="s">
        <v>5791</v>
      </c>
      <c r="E1173" s="409" t="s">
        <v>5792</v>
      </c>
      <c r="F1173" s="409" t="s">
        <v>5793</v>
      </c>
      <c r="G1173" s="409" t="s">
        <v>5794</v>
      </c>
      <c r="H1173" s="465">
        <v>88.297250000000005</v>
      </c>
      <c r="I1173" s="465">
        <v>3.17476</v>
      </c>
      <c r="J1173" s="465">
        <v>12.2094</v>
      </c>
      <c r="K1173" s="465">
        <v>1265.3411599999999</v>
      </c>
      <c r="L1173" s="464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uholník Mini 17x11mm 2,35m biely mat</v>
      </c>
      <c r="C1174" s="185">
        <f t="shared" si="37"/>
        <v>4.3978200000000003</v>
      </c>
      <c r="D1174" s="409" t="s">
        <v>5795</v>
      </c>
      <c r="E1174" s="409" t="s">
        <v>5796</v>
      </c>
      <c r="F1174" s="409" t="s">
        <v>5797</v>
      </c>
      <c r="G1174" s="409" t="s">
        <v>5798</v>
      </c>
      <c r="H1174" s="465">
        <v>122.31341</v>
      </c>
      <c r="I1174" s="465">
        <v>4.3978200000000003</v>
      </c>
      <c r="J1174" s="465">
        <v>16.901399999999999</v>
      </c>
      <c r="K1174" s="465">
        <v>1752.8088</v>
      </c>
      <c r="L1174" s="464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maska Elegant II 6m biela mat</v>
      </c>
      <c r="C1175" s="185">
        <f t="shared" si="37"/>
        <v>11.762219999999999</v>
      </c>
      <c r="D1175" s="409" t="s">
        <v>1329</v>
      </c>
      <c r="E1175" s="409" t="s">
        <v>1780</v>
      </c>
      <c r="F1175" s="409" t="s">
        <v>5799</v>
      </c>
      <c r="G1175" s="409" t="s">
        <v>5800</v>
      </c>
      <c r="H1175" s="465">
        <v>327.13407999999998</v>
      </c>
      <c r="I1175" s="465">
        <v>11.762219999999999</v>
      </c>
      <c r="J1175" s="465">
        <v>43.084800000000001</v>
      </c>
      <c r="K1175" s="465">
        <v>4687.9854999999998</v>
      </c>
      <c r="L1175" s="464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maska Elegant II 1,7m biely mat</v>
      </c>
      <c r="C1176" s="185">
        <f t="shared" si="37"/>
        <v>3.3308900000000001</v>
      </c>
      <c r="D1176" s="409" t="s">
        <v>1330</v>
      </c>
      <c r="E1176" s="409" t="s">
        <v>1781</v>
      </c>
      <c r="F1176" s="409" t="s">
        <v>5801</v>
      </c>
      <c r="G1176" s="409" t="s">
        <v>2356</v>
      </c>
      <c r="H1176" s="465">
        <v>92.639750000000006</v>
      </c>
      <c r="I1176" s="465">
        <v>3.3308900000000001</v>
      </c>
      <c r="J1176" s="465">
        <v>12.199199999999999</v>
      </c>
      <c r="K1176" s="465">
        <v>1327.57123</v>
      </c>
      <c r="L1176" s="464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9" t="e">
        <v>#N/A</v>
      </c>
      <c r="E1177" s="409" t="e">
        <v>#N/A</v>
      </c>
      <c r="F1177" s="409" t="e">
        <v>#N/A</v>
      </c>
      <c r="G1177" s="409" t="e">
        <v>#N/A</v>
      </c>
      <c r="H1177" s="465" t="e">
        <v>#N/A</v>
      </c>
      <c r="I1177" s="465" t="e">
        <v>#N/A</v>
      </c>
      <c r="J1177" s="465" t="e">
        <v>#N/A</v>
      </c>
      <c r="K1177" s="465" t="e">
        <v>#N/A</v>
      </c>
      <c r="L1177" s="464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str">
        <f t="shared" si="36"/>
        <v>SEVROLL Eden hornej vedenie 2,35 m strieborná</v>
      </c>
      <c r="C1178" s="185" t="e">
        <f t="shared" si="37"/>
        <v>#N/A</v>
      </c>
      <c r="D1178" s="409" t="s">
        <v>1331</v>
      </c>
      <c r="E1178" s="409" t="s">
        <v>1782</v>
      </c>
      <c r="F1178" s="409" t="s">
        <v>2155</v>
      </c>
      <c r="G1178" s="409" t="s">
        <v>2357</v>
      </c>
      <c r="H1178" s="465" t="e">
        <v>#N/A</v>
      </c>
      <c r="I1178" s="465" t="e">
        <v>#N/A</v>
      </c>
      <c r="J1178" s="465" t="e">
        <v>#N/A</v>
      </c>
      <c r="K1178" s="465" t="e">
        <v>#N/A</v>
      </c>
      <c r="L1178" s="464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Eden hornej vedenie 2,35 m strieborná</v>
      </c>
      <c r="C1179" s="185">
        <f t="shared" si="37"/>
        <v>28.75497</v>
      </c>
      <c r="D1179" s="409" t="s">
        <v>1332</v>
      </c>
      <c r="E1179" s="409" t="s">
        <v>1783</v>
      </c>
      <c r="F1179" s="409" t="s">
        <v>2155</v>
      </c>
      <c r="G1179" s="409" t="s">
        <v>2357</v>
      </c>
      <c r="H1179" s="465">
        <v>799.74153000000001</v>
      </c>
      <c r="I1179" s="465">
        <v>28.75497</v>
      </c>
      <c r="J1179" s="465">
        <v>120.1152</v>
      </c>
      <c r="K1179" s="465">
        <v>11460.672920000001</v>
      </c>
      <c r="L1179" s="464" t="s">
        <v>539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Eden hornej vedenie 2,35 m strieborná</v>
      </c>
      <c r="C1180" s="185">
        <f t="shared" si="37"/>
        <v>23.49841</v>
      </c>
      <c r="D1180" s="409" t="s">
        <v>1333</v>
      </c>
      <c r="E1180" s="409" t="s">
        <v>1784</v>
      </c>
      <c r="F1180" s="409" t="s">
        <v>2155</v>
      </c>
      <c r="G1180" s="409" t="s">
        <v>2357</v>
      </c>
      <c r="H1180" s="465">
        <v>653.54441999999995</v>
      </c>
      <c r="I1180" s="465">
        <v>23.49841</v>
      </c>
      <c r="J1180" s="465">
        <v>98.032200000000003</v>
      </c>
      <c r="K1180" s="465">
        <v>9365.5994100000007</v>
      </c>
      <c r="L1180" s="464" t="s">
        <v>539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Eden sada kovania pre dvoje dvere</v>
      </c>
      <c r="C1181" s="185">
        <f t="shared" si="37"/>
        <v>134.61491000000001</v>
      </c>
      <c r="D1181" s="409" t="s">
        <v>1334</v>
      </c>
      <c r="E1181" s="409" t="s">
        <v>1785</v>
      </c>
      <c r="F1181" s="409" t="s">
        <v>2156</v>
      </c>
      <c r="G1181" s="409" t="s">
        <v>2358</v>
      </c>
      <c r="H1181" s="465">
        <v>3743.9482899999998</v>
      </c>
      <c r="I1181" s="465">
        <v>134.61491000000001</v>
      </c>
      <c r="J1181" s="465">
        <v>558.78660000000002</v>
      </c>
      <c r="K1181" s="465">
        <v>53652.542829999999</v>
      </c>
      <c r="L1181" s="464" t="s">
        <v>539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Eden sada kovania pre dvoje dvere</v>
      </c>
      <c r="C1182" s="185">
        <f t="shared" si="37"/>
        <v>58.73301</v>
      </c>
      <c r="D1182" s="409" t="s">
        <v>1335</v>
      </c>
      <c r="E1182" s="409" t="s">
        <v>1786</v>
      </c>
      <c r="F1182" s="409" t="s">
        <v>2156</v>
      </c>
      <c r="G1182" s="409" t="s">
        <v>2358</v>
      </c>
      <c r="H1182" s="465">
        <v>1633.4992</v>
      </c>
      <c r="I1182" s="465">
        <v>58.73301</v>
      </c>
      <c r="J1182" s="465">
        <v>284.68200000000002</v>
      </c>
      <c r="K1182" s="465">
        <v>23408.81308</v>
      </c>
      <c r="L1182" s="464" t="s">
        <v>539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maska Elegant II 2,35m biela mat</v>
      </c>
      <c r="C1183" s="185">
        <f t="shared" si="37"/>
        <v>4.6059999999999999</v>
      </c>
      <c r="D1183" s="409" t="s">
        <v>1336</v>
      </c>
      <c r="E1183" s="409" t="s">
        <v>1787</v>
      </c>
      <c r="F1183" s="409" t="s">
        <v>5802</v>
      </c>
      <c r="G1183" s="409" t="s">
        <v>2359</v>
      </c>
      <c r="H1183" s="465">
        <v>128.10339999999999</v>
      </c>
      <c r="I1183" s="465">
        <v>4.6059999999999999</v>
      </c>
      <c r="J1183" s="465">
        <v>16.870799999999999</v>
      </c>
      <c r="K1183" s="465">
        <v>1835.78208</v>
      </c>
      <c r="L1183" s="464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maska Elegant II 3m biela mat</v>
      </c>
      <c r="C1184" s="185">
        <f t="shared" si="37"/>
        <v>5.8811099999999996</v>
      </c>
      <c r="D1184" s="409" t="s">
        <v>1337</v>
      </c>
      <c r="E1184" s="409" t="s">
        <v>1788</v>
      </c>
      <c r="F1184" s="409" t="s">
        <v>5803</v>
      </c>
      <c r="G1184" s="409" t="s">
        <v>2360</v>
      </c>
      <c r="H1184" s="465">
        <v>163.56704999999999</v>
      </c>
      <c r="I1184" s="465">
        <v>5.8811099999999996</v>
      </c>
      <c r="J1184" s="465">
        <v>21.542400000000001</v>
      </c>
      <c r="K1184" s="465">
        <v>2343.9929499999998</v>
      </c>
      <c r="L1184" s="464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maska Elegant II 4,05m biela mat</v>
      </c>
      <c r="C1185" s="185">
        <f t="shared" si="37"/>
        <v>7.93689</v>
      </c>
      <c r="D1185" s="409" t="s">
        <v>1338</v>
      </c>
      <c r="E1185" s="409" t="s">
        <v>1789</v>
      </c>
      <c r="F1185" s="409" t="s">
        <v>5804</v>
      </c>
      <c r="G1185" s="409" t="s">
        <v>2361</v>
      </c>
      <c r="H1185" s="465">
        <v>220.74315000000001</v>
      </c>
      <c r="I1185" s="465">
        <v>7.93689</v>
      </c>
      <c r="J1185" s="465">
        <v>29.07</v>
      </c>
      <c r="K1185" s="465">
        <v>3163.3533000000002</v>
      </c>
      <c r="L1185" s="464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úchytová lišta 18mm 2,7m čierna lesk</v>
      </c>
      <c r="C1186" s="185">
        <f t="shared" si="37"/>
        <v>16.446280000000002</v>
      </c>
      <c r="D1186" s="409" t="s">
        <v>1339</v>
      </c>
      <c r="E1186" s="409" t="s">
        <v>1790</v>
      </c>
      <c r="F1186" s="409" t="s">
        <v>5805</v>
      </c>
      <c r="G1186" s="409" t="s">
        <v>2362</v>
      </c>
      <c r="H1186" s="465">
        <v>457.40872000000002</v>
      </c>
      <c r="I1186" s="465">
        <v>16.446280000000002</v>
      </c>
      <c r="J1186" s="465">
        <v>66.463200000000001</v>
      </c>
      <c r="K1186" s="465">
        <v>6554.8824199999999</v>
      </c>
      <c r="L1186" s="464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úchytová lišta 2,7m čierna lesk</v>
      </c>
      <c r="C1187" s="185">
        <f t="shared" si="37"/>
        <v>21.598759999999999</v>
      </c>
      <c r="D1187" s="409" t="s">
        <v>1340</v>
      </c>
      <c r="E1187" s="409" t="s">
        <v>1791</v>
      </c>
      <c r="F1187" s="409" t="s">
        <v>5806</v>
      </c>
      <c r="G1187" s="409" t="s">
        <v>2363</v>
      </c>
      <c r="H1187" s="465">
        <v>600.71082000000001</v>
      </c>
      <c r="I1187" s="465">
        <v>21.598759999999999</v>
      </c>
      <c r="J1187" s="465">
        <v>80.416799999999995</v>
      </c>
      <c r="K1187" s="465">
        <v>8608.4691000000003</v>
      </c>
      <c r="L1187" s="464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spojovacia lišta H10 3m čierna lesk</v>
      </c>
      <c r="C1188" s="185">
        <f t="shared" si="37"/>
        <v>15.82174</v>
      </c>
      <c r="D1188" s="409" t="s">
        <v>1341</v>
      </c>
      <c r="E1188" s="409" t="s">
        <v>1792</v>
      </c>
      <c r="F1188" s="409" t="s">
        <v>5807</v>
      </c>
      <c r="G1188" s="409" t="s">
        <v>2364</v>
      </c>
      <c r="H1188" s="465">
        <v>440.03877999999997</v>
      </c>
      <c r="I1188" s="465">
        <v>15.82174</v>
      </c>
      <c r="J1188" s="465">
        <v>67.289400000000001</v>
      </c>
      <c r="K1188" s="465">
        <v>6305.9629800000002</v>
      </c>
      <c r="L1188" s="464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str">
        <f t="shared" si="36"/>
        <v>SEVROLL 02986 Maxim II spodné vedenie 1,8m oliva</v>
      </c>
      <c r="C1189" s="185" t="e">
        <f t="shared" si="37"/>
        <v>#N/A</v>
      </c>
      <c r="D1189" s="409" t="s">
        <v>1342</v>
      </c>
      <c r="E1189" s="409" t="s">
        <v>1793</v>
      </c>
      <c r="F1189" s="409" t="s">
        <v>2157</v>
      </c>
      <c r="G1189" s="409" t="s">
        <v>2365</v>
      </c>
      <c r="H1189" s="465" t="e">
        <v>#N/A</v>
      </c>
      <c r="I1189" s="465" t="e">
        <v>#N/A</v>
      </c>
      <c r="J1189" s="465" t="e">
        <v>#N/A</v>
      </c>
      <c r="K1189" s="465" t="e">
        <v>#N/A</v>
      </c>
      <c r="L1189" s="464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str">
        <f t="shared" si="36"/>
        <v>SEVROLL 02996 Maxim II maska 1,8m oliva</v>
      </c>
      <c r="C1190" s="185" t="e">
        <f t="shared" si="37"/>
        <v>#N/A</v>
      </c>
      <c r="D1190" s="409" t="s">
        <v>1343</v>
      </c>
      <c r="E1190" s="409" t="s">
        <v>1794</v>
      </c>
      <c r="F1190" s="409" t="s">
        <v>1343</v>
      </c>
      <c r="G1190" s="409" t="s">
        <v>2366</v>
      </c>
      <c r="H1190" s="465" t="e">
        <v>#N/A</v>
      </c>
      <c r="I1190" s="465" t="e">
        <v>#N/A</v>
      </c>
      <c r="J1190" s="465" t="e">
        <v>#N/A</v>
      </c>
      <c r="K1190" s="465" t="e">
        <v>#N/A</v>
      </c>
      <c r="L1190" s="464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9" t="e">
        <v>#N/A</v>
      </c>
      <c r="E1191" s="409" t="e">
        <v>#N/A</v>
      </c>
      <c r="F1191" s="409" t="e">
        <v>#N/A</v>
      </c>
      <c r="G1191" s="409" t="e">
        <v>#N/A</v>
      </c>
      <c r="H1191" s="465" t="e">
        <v>#N/A</v>
      </c>
      <c r="I1191" s="465" t="e">
        <v>#N/A</v>
      </c>
      <c r="J1191" s="465" t="e">
        <v>#N/A</v>
      </c>
      <c r="K1191" s="465" t="e">
        <v>#N/A</v>
      </c>
      <c r="L1191" s="464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9" t="e">
        <v>#N/A</v>
      </c>
      <c r="E1192" s="409" t="e">
        <v>#N/A</v>
      </c>
      <c r="F1192" s="409" t="e">
        <v>#N/A</v>
      </c>
      <c r="G1192" s="409" t="e">
        <v>#N/A</v>
      </c>
      <c r="H1192" s="465" t="e">
        <v>#N/A</v>
      </c>
      <c r="I1192" s="465" t="e">
        <v>#N/A</v>
      </c>
      <c r="J1192" s="465" t="e">
        <v>#N/A</v>
      </c>
      <c r="K1192" s="465" t="e">
        <v>#N/A</v>
      </c>
      <c r="L1192" s="464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9" t="e">
        <v>#N/A</v>
      </c>
      <c r="E1193" s="409" t="e">
        <v>#N/A</v>
      </c>
      <c r="F1193" s="409" t="e">
        <v>#N/A</v>
      </c>
      <c r="G1193" s="409" t="e">
        <v>#N/A</v>
      </c>
      <c r="H1193" s="465" t="e">
        <v>#N/A</v>
      </c>
      <c r="I1193" s="465" t="e">
        <v>#N/A</v>
      </c>
      <c r="J1193" s="465" t="e">
        <v>#N/A</v>
      </c>
      <c r="K1193" s="465" t="e">
        <v>#N/A</v>
      </c>
      <c r="L1193" s="464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9" t="e">
        <v>#N/A</v>
      </c>
      <c r="E1194" s="409" t="e">
        <v>#N/A</v>
      </c>
      <c r="F1194" s="409" t="e">
        <v>#N/A</v>
      </c>
      <c r="G1194" s="409" t="e">
        <v>#N/A</v>
      </c>
      <c r="H1194" s="465" t="e">
        <v>#N/A</v>
      </c>
      <c r="I1194" s="465" t="e">
        <v>#N/A</v>
      </c>
      <c r="J1194" s="465" t="e">
        <v>#N/A</v>
      </c>
      <c r="K1194" s="465" t="e">
        <v>#N/A</v>
      </c>
      <c r="L1194" s="464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sada Fold pre 2 krídla ľavá</v>
      </c>
      <c r="C1195" s="185">
        <f t="shared" si="37"/>
        <v>56.911430000000003</v>
      </c>
      <c r="D1195" s="409" t="s">
        <v>1344</v>
      </c>
      <c r="E1195" s="409" t="s">
        <v>1795</v>
      </c>
      <c r="F1195" s="409" t="s">
        <v>5808</v>
      </c>
      <c r="G1195" s="409" t="s">
        <v>2367</v>
      </c>
      <c r="H1195" s="465">
        <v>1582.8368399999999</v>
      </c>
      <c r="I1195" s="465">
        <v>56.911430000000003</v>
      </c>
      <c r="J1195" s="465">
        <v>198.59399999999999</v>
      </c>
      <c r="K1195" s="465">
        <v>22682.797610000001</v>
      </c>
      <c r="L1195" s="464" t="s">
        <v>539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sada Fold pro 2 krídla pravá</v>
      </c>
      <c r="C1196" s="185">
        <f t="shared" si="37"/>
        <v>56.911430000000003</v>
      </c>
      <c r="D1196" s="409" t="s">
        <v>1345</v>
      </c>
      <c r="E1196" s="409" t="s">
        <v>1796</v>
      </c>
      <c r="F1196" s="409" t="s">
        <v>5809</v>
      </c>
      <c r="G1196" s="409" t="s">
        <v>2368</v>
      </c>
      <c r="H1196" s="465">
        <v>1582.8368399999999</v>
      </c>
      <c r="I1196" s="465">
        <v>56.911430000000003</v>
      </c>
      <c r="J1196" s="465">
        <v>198.59399999999999</v>
      </c>
      <c r="K1196" s="465">
        <v>22682.797610000001</v>
      </c>
      <c r="L1196" s="464" t="s">
        <v>539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9" t="e">
        <v>#N/A</v>
      </c>
      <c r="E1197" s="409" t="e">
        <v>#N/A</v>
      </c>
      <c r="F1197" s="409" t="e">
        <v>#N/A</v>
      </c>
      <c r="G1197" s="409" t="e">
        <v>#N/A</v>
      </c>
      <c r="H1197" s="465" t="e">
        <v>#N/A</v>
      </c>
      <c r="I1197" s="465" t="e">
        <v>#N/A</v>
      </c>
      <c r="J1197" s="465" t="e">
        <v>#N/A</v>
      </c>
      <c r="K1197" s="465" t="e">
        <v>#N/A</v>
      </c>
      <c r="L1197" s="464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9" t="e">
        <v>#N/A</v>
      </c>
      <c r="E1198" s="409" t="e">
        <v>#N/A</v>
      </c>
      <c r="F1198" s="409" t="e">
        <v>#N/A</v>
      </c>
      <c r="G1198" s="409" t="e">
        <v>#N/A</v>
      </c>
      <c r="H1198" s="465" t="e">
        <v>#N/A</v>
      </c>
      <c r="I1198" s="465" t="e">
        <v>#N/A</v>
      </c>
      <c r="J1198" s="465" t="e">
        <v>#N/A</v>
      </c>
      <c r="K1198" s="465" t="e">
        <v>#N/A</v>
      </c>
      <c r="L1198" s="464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str">
        <f t="shared" si="36"/>
        <v>SEVROLL 04438 maska Elegant II 3m biela mat</v>
      </c>
      <c r="C1199" s="185" t="e">
        <f t="shared" si="37"/>
        <v>#N/A</v>
      </c>
      <c r="D1199" s="409" t="s">
        <v>1337</v>
      </c>
      <c r="E1199" s="409" t="s">
        <v>1797</v>
      </c>
      <c r="F1199" s="409" t="s">
        <v>5803</v>
      </c>
      <c r="G1199" s="409" t="s">
        <v>5810</v>
      </c>
      <c r="H1199" s="465" t="e">
        <v>#N/A</v>
      </c>
      <c r="I1199" s="465" t="e">
        <v>#N/A</v>
      </c>
      <c r="J1199" s="465" t="e">
        <v>#N/A</v>
      </c>
      <c r="K1199" s="465" t="e">
        <v>#N/A</v>
      </c>
      <c r="L1199" s="464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dolný profil 4/18mm 1,5m strieborný</v>
      </c>
      <c r="C1200" s="185">
        <f t="shared" si="37"/>
        <v>0</v>
      </c>
      <c r="D1200" s="409" t="s">
        <v>6978</v>
      </c>
      <c r="E1200" s="409" t="s">
        <v>6979</v>
      </c>
      <c r="F1200" s="409" t="s">
        <v>6980</v>
      </c>
      <c r="G1200" s="409" t="s">
        <v>68</v>
      </c>
      <c r="H1200" s="465">
        <v>0</v>
      </c>
      <c r="I1200" s="465">
        <v>0</v>
      </c>
      <c r="J1200" s="465">
        <v>0</v>
      </c>
      <c r="K1200" s="465">
        <v>0</v>
      </c>
      <c r="L1200" s="464" t="s">
        <v>540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dolný vodiaci profil 1,5m strieborný</v>
      </c>
      <c r="C1201" s="185">
        <f t="shared" si="37"/>
        <v>0</v>
      </c>
      <c r="D1201" s="409" t="s">
        <v>6981</v>
      </c>
      <c r="E1201" s="409" t="s">
        <v>6982</v>
      </c>
      <c r="F1201" s="409" t="s">
        <v>6983</v>
      </c>
      <c r="G1201" s="409" t="s">
        <v>68</v>
      </c>
      <c r="H1201" s="465">
        <v>0</v>
      </c>
      <c r="I1201" s="465">
        <v>0</v>
      </c>
      <c r="J1201" s="465">
        <v>0</v>
      </c>
      <c r="K1201" s="465">
        <v>0</v>
      </c>
      <c r="L1201" s="464" t="s">
        <v>540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/>
      </c>
      <c r="C1202" s="185">
        <f t="shared" si="37"/>
        <v>16.99361</v>
      </c>
      <c r="D1202" s="409" t="s">
        <v>6984</v>
      </c>
      <c r="E1202" s="409" t="s">
        <v>6985</v>
      </c>
      <c r="F1202" s="409" t="s">
        <v>68</v>
      </c>
      <c r="G1202" s="409" t="s">
        <v>6986</v>
      </c>
      <c r="H1202" s="465">
        <v>692.125</v>
      </c>
      <c r="I1202" s="465">
        <v>16.99361</v>
      </c>
      <c r="J1202" s="465">
        <v>93.710499999999996</v>
      </c>
      <c r="K1202" s="465">
        <v>13931.80646</v>
      </c>
      <c r="L1202" s="464" t="s">
        <v>539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/>
      </c>
      <c r="C1203" s="185">
        <f t="shared" si="37"/>
        <v>8.1051699999999993</v>
      </c>
      <c r="D1203" s="409" t="s">
        <v>6987</v>
      </c>
      <c r="E1203" s="409" t="s">
        <v>6988</v>
      </c>
      <c r="F1203" s="409" t="s">
        <v>68</v>
      </c>
      <c r="G1203" s="409" t="s">
        <v>6989</v>
      </c>
      <c r="H1203" s="465">
        <v>313.25</v>
      </c>
      <c r="I1203" s="465">
        <v>8.1051699999999993</v>
      </c>
      <c r="J1203" s="465">
        <v>44.695599999999999</v>
      </c>
      <c r="K1203" s="465">
        <v>6305.4193699999996</v>
      </c>
      <c r="L1203" s="464" t="s">
        <v>539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/>
      </c>
      <c r="C1204" s="185">
        <f t="shared" si="37"/>
        <v>16.918690000000002</v>
      </c>
      <c r="D1204" s="409" t="s">
        <v>6990</v>
      </c>
      <c r="E1204" s="409" t="s">
        <v>6991</v>
      </c>
      <c r="F1204" s="409" t="s">
        <v>68</v>
      </c>
      <c r="G1204" s="409" t="s">
        <v>6992</v>
      </c>
      <c r="H1204" s="465">
        <v>706.125</v>
      </c>
      <c r="I1204" s="465">
        <v>16.918690000000002</v>
      </c>
      <c r="J1204" s="465">
        <v>93.297359999999998</v>
      </c>
      <c r="K1204" s="465">
        <v>14213.61291</v>
      </c>
      <c r="L1204" s="464" t="s">
        <v>539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/>
      </c>
      <c r="C1205" s="185">
        <f t="shared" si="37"/>
        <v>31.135090000000002</v>
      </c>
      <c r="D1205" s="409" t="s">
        <v>6993</v>
      </c>
      <c r="E1205" s="409" t="s">
        <v>6994</v>
      </c>
      <c r="F1205" s="409" t="s">
        <v>68</v>
      </c>
      <c r="G1205" s="409" t="s">
        <v>6995</v>
      </c>
      <c r="H1205" s="465">
        <v>1300.25</v>
      </c>
      <c r="I1205" s="465">
        <v>31.135090000000002</v>
      </c>
      <c r="J1205" s="465">
        <v>171.69306</v>
      </c>
      <c r="K1205" s="465">
        <v>26172.7742</v>
      </c>
      <c r="L1205" s="464" t="s">
        <v>539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9" t="e">
        <v>#N/A</v>
      </c>
      <c r="E1206" s="409" t="e">
        <v>#N/A</v>
      </c>
      <c r="F1206" s="409" t="e">
        <v>#N/A</v>
      </c>
      <c r="G1206" s="409" t="e">
        <v>#N/A</v>
      </c>
      <c r="H1206" s="465" t="e">
        <v>#N/A</v>
      </c>
      <c r="I1206" s="465" t="e">
        <v>#N/A</v>
      </c>
      <c r="J1206" s="465" t="e">
        <v>#N/A</v>
      </c>
      <c r="K1206" s="465" t="e">
        <v>#N/A</v>
      </c>
      <c r="L1206" s="464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9" t="e">
        <v>#N/A</v>
      </c>
      <c r="E1207" s="409" t="e">
        <v>#N/A</v>
      </c>
      <c r="F1207" s="409" t="e">
        <v>#N/A</v>
      </c>
      <c r="G1207" s="409" t="e">
        <v>#N/A</v>
      </c>
      <c r="H1207" s="465" t="e">
        <v>#N/A</v>
      </c>
      <c r="I1207" s="465" t="e">
        <v>#N/A</v>
      </c>
      <c r="J1207" s="465" t="e">
        <v>#N/A</v>
      </c>
      <c r="K1207" s="465" t="e">
        <v>#N/A</v>
      </c>
      <c r="L1207" s="464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9" t="e">
        <v>#N/A</v>
      </c>
      <c r="E1208" s="409" t="e">
        <v>#N/A</v>
      </c>
      <c r="F1208" s="409" t="e">
        <v>#N/A</v>
      </c>
      <c r="G1208" s="409" t="e">
        <v>#N/A</v>
      </c>
      <c r="H1208" s="465" t="e">
        <v>#N/A</v>
      </c>
      <c r="I1208" s="465" t="e">
        <v>#N/A</v>
      </c>
      <c r="J1208" s="465" t="e">
        <v>#N/A</v>
      </c>
      <c r="K1208" s="465" t="e">
        <v>#N/A</v>
      </c>
      <c r="L1208" s="464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9" t="e">
        <v>#N/A</v>
      </c>
      <c r="E1209" s="409" t="e">
        <v>#N/A</v>
      </c>
      <c r="F1209" s="409" t="e">
        <v>#N/A</v>
      </c>
      <c r="G1209" s="409" t="e">
        <v>#N/A</v>
      </c>
      <c r="H1209" s="465" t="e">
        <v>#N/A</v>
      </c>
      <c r="I1209" s="465" t="e">
        <v>#N/A</v>
      </c>
      <c r="J1209" s="465" t="e">
        <v>#N/A</v>
      </c>
      <c r="K1209" s="465" t="e">
        <v>#N/A</v>
      </c>
      <c r="L1209" s="464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9" t="e">
        <v>#N/A</v>
      </c>
      <c r="E1210" s="409" t="e">
        <v>#N/A</v>
      </c>
      <c r="F1210" s="409" t="e">
        <v>#N/A</v>
      </c>
      <c r="G1210" s="409" t="e">
        <v>#N/A</v>
      </c>
      <c r="H1210" s="465" t="e">
        <v>#N/A</v>
      </c>
      <c r="I1210" s="465" t="e">
        <v>#N/A</v>
      </c>
      <c r="J1210" s="465" t="e">
        <v>#N/A</v>
      </c>
      <c r="K1210" s="465" t="e">
        <v>#N/A</v>
      </c>
      <c r="L1210" s="464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sada kovania ZSE-18 PLUS PRINCE</v>
      </c>
      <c r="C1211" s="185">
        <f t="shared" si="37"/>
        <v>78.380070000000003</v>
      </c>
      <c r="D1211" s="409" t="s">
        <v>1346</v>
      </c>
      <c r="E1211" s="409" t="s">
        <v>1798</v>
      </c>
      <c r="F1211" s="409" t="s">
        <v>2158</v>
      </c>
      <c r="G1211" s="409" t="s">
        <v>5811</v>
      </c>
      <c r="H1211" s="465">
        <v>2179.9289100000001</v>
      </c>
      <c r="I1211" s="465">
        <v>78.380070000000003</v>
      </c>
      <c r="J1211" s="465">
        <v>273.45179999999999</v>
      </c>
      <c r="K1211" s="465">
        <v>31239.40826</v>
      </c>
      <c r="L1211" s="464" t="s">
        <v>539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úchytová lišta 2,7m čierna mat</v>
      </c>
      <c r="C1212" s="185">
        <f t="shared" si="37"/>
        <v>16.368220000000001</v>
      </c>
      <c r="D1212" s="409" t="s">
        <v>1347</v>
      </c>
      <c r="E1212" s="409" t="s">
        <v>1799</v>
      </c>
      <c r="F1212" s="409" t="s">
        <v>5812</v>
      </c>
      <c r="G1212" s="409" t="s">
        <v>5813</v>
      </c>
      <c r="H1212" s="465">
        <v>455.23748000000001</v>
      </c>
      <c r="I1212" s="465">
        <v>16.368220000000001</v>
      </c>
      <c r="J1212" s="465">
        <v>60.088200000000001</v>
      </c>
      <c r="K1212" s="465">
        <v>6523.7675799999997</v>
      </c>
      <c r="L1212" s="464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spojovacia lišta H30 decor 3m čierna mat</v>
      </c>
      <c r="C1213" s="185">
        <f t="shared" si="37"/>
        <v>29.27543</v>
      </c>
      <c r="D1213" s="409" t="s">
        <v>1348</v>
      </c>
      <c r="E1213" s="409" t="s">
        <v>1800</v>
      </c>
      <c r="F1213" s="409" t="s">
        <v>5814</v>
      </c>
      <c r="G1213" s="409" t="s">
        <v>2369</v>
      </c>
      <c r="H1213" s="465">
        <v>814.21649000000002</v>
      </c>
      <c r="I1213" s="465">
        <v>29.27543</v>
      </c>
      <c r="J1213" s="465">
        <v>102.1734</v>
      </c>
      <c r="K1213" s="465">
        <v>11668.10591</v>
      </c>
      <c r="L1213" s="464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dištančný profil 04 3m čierna mat</v>
      </c>
      <c r="C1214" s="185">
        <f t="shared" si="37"/>
        <v>4.6580500000000002</v>
      </c>
      <c r="D1214" s="409" t="s">
        <v>1349</v>
      </c>
      <c r="E1214" s="409" t="s">
        <v>1801</v>
      </c>
      <c r="F1214" s="409" t="s">
        <v>5815</v>
      </c>
      <c r="G1214" s="409" t="s">
        <v>5816</v>
      </c>
      <c r="H1214" s="465">
        <v>129.55089000000001</v>
      </c>
      <c r="I1214" s="465">
        <v>4.6580500000000002</v>
      </c>
      <c r="J1214" s="465">
        <v>16.289400000000001</v>
      </c>
      <c r="K1214" s="465">
        <v>1856.52531</v>
      </c>
      <c r="L1214" s="464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horná vodiaca lišta 2,35m čierna mat</v>
      </c>
      <c r="C1215" s="185">
        <f t="shared" si="37"/>
        <v>14.52061</v>
      </c>
      <c r="D1215" s="409" t="s">
        <v>1350</v>
      </c>
      <c r="E1215" s="409" t="s">
        <v>1802</v>
      </c>
      <c r="F1215" s="409" t="s">
        <v>5817</v>
      </c>
      <c r="G1215" s="409" t="s">
        <v>2370</v>
      </c>
      <c r="H1215" s="465">
        <v>403.85138000000001</v>
      </c>
      <c r="I1215" s="465">
        <v>14.52061</v>
      </c>
      <c r="J1215" s="465">
        <v>82.936199999999999</v>
      </c>
      <c r="K1215" s="465">
        <v>5787.3805000000002</v>
      </c>
      <c r="L1215" s="464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horná vodiaca lišta 3m čierna mat</v>
      </c>
      <c r="C1216" s="185">
        <f t="shared" si="37"/>
        <v>18.528089999999999</v>
      </c>
      <c r="D1216" s="409" t="s">
        <v>1351</v>
      </c>
      <c r="E1216" s="409" t="s">
        <v>1803</v>
      </c>
      <c r="F1216" s="409" t="s">
        <v>5818</v>
      </c>
      <c r="G1216" s="409" t="s">
        <v>2371</v>
      </c>
      <c r="H1216" s="465">
        <v>515.30856000000006</v>
      </c>
      <c r="I1216" s="465">
        <v>18.528089999999999</v>
      </c>
      <c r="J1216" s="465">
        <v>105.8454</v>
      </c>
      <c r="K1216" s="465">
        <v>7384.61438</v>
      </c>
      <c r="L1216" s="464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horná vodiaca lišta 3m čierna mat</v>
      </c>
      <c r="C1217" s="185">
        <f t="shared" si="37"/>
        <v>29.353490000000001</v>
      </c>
      <c r="D1217" s="409" t="s">
        <v>1352</v>
      </c>
      <c r="E1217" s="409" t="s">
        <v>1804</v>
      </c>
      <c r="F1217" s="409" t="s">
        <v>5819</v>
      </c>
      <c r="G1217" s="409" t="s">
        <v>2372</v>
      </c>
      <c r="H1217" s="465">
        <v>816.38773000000003</v>
      </c>
      <c r="I1217" s="465">
        <v>29.353490000000001</v>
      </c>
      <c r="J1217" s="465">
        <v>112.2</v>
      </c>
      <c r="K1217" s="465">
        <v>11699.220729999999</v>
      </c>
      <c r="L1217" s="464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horné vedenie 6m čierna mat</v>
      </c>
      <c r="C1218" s="185">
        <f t="shared" si="37"/>
        <v>64.95241</v>
      </c>
      <c r="D1218" s="409" t="s">
        <v>1353</v>
      </c>
      <c r="E1218" s="409" t="s">
        <v>1805</v>
      </c>
      <c r="F1218" s="409" t="s">
        <v>5820</v>
      </c>
      <c r="G1218" s="409" t="s">
        <v>5821</v>
      </c>
      <c r="H1218" s="465">
        <v>1806.47497</v>
      </c>
      <c r="I1218" s="465">
        <v>64.95241</v>
      </c>
      <c r="J1218" s="465">
        <v>263.56799999999998</v>
      </c>
      <c r="K1218" s="465">
        <v>25887.637350000001</v>
      </c>
      <c r="L1218" s="464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spodné vedenie 6m čierna mat</v>
      </c>
      <c r="C1219" s="185">
        <f t="shared" si="37"/>
        <v>37.914929999999998</v>
      </c>
      <c r="D1219" s="409" t="s">
        <v>1354</v>
      </c>
      <c r="E1219" s="409" t="s">
        <v>1806</v>
      </c>
      <c r="F1219" s="409" t="s">
        <v>5822</v>
      </c>
      <c r="G1219" s="409" t="s">
        <v>5823</v>
      </c>
      <c r="H1219" s="465">
        <v>1054.50082</v>
      </c>
      <c r="I1219" s="465">
        <v>37.914929999999998</v>
      </c>
      <c r="J1219" s="465">
        <v>143.60579999999999</v>
      </c>
      <c r="K1219" s="465">
        <v>15111.493469999999</v>
      </c>
      <c r="L1219" s="464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maska Elegant II 1,7m čierna mat</v>
      </c>
      <c r="C1220" s="185">
        <f t="shared" ref="C1220:C1283" si="39">IF($A$2=1,H1220,IF($A$2=2,I1220,IF($A$2=3,J1220,IF($A$2=4,K1220,IF($A$2&gt;4,O1220,"zadat jazyk")))))</f>
        <v>3.3308900000000001</v>
      </c>
      <c r="D1220" s="409" t="s">
        <v>1355</v>
      </c>
      <c r="E1220" s="409" t="s">
        <v>1807</v>
      </c>
      <c r="F1220" s="409" t="s">
        <v>5824</v>
      </c>
      <c r="G1220" s="409" t="s">
        <v>2373</v>
      </c>
      <c r="H1220" s="465">
        <v>92.639750000000006</v>
      </c>
      <c r="I1220" s="465">
        <v>3.3308900000000001</v>
      </c>
      <c r="J1220" s="465">
        <v>12.199199999999999</v>
      </c>
      <c r="K1220" s="465">
        <v>1327.57123</v>
      </c>
      <c r="L1220" s="464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maska Elegant II 6m čierna mat</v>
      </c>
      <c r="C1221" s="185">
        <f t="shared" si="39"/>
        <v>11.762219999999999</v>
      </c>
      <c r="D1221" s="409" t="s">
        <v>1356</v>
      </c>
      <c r="E1221" s="409" t="s">
        <v>1808</v>
      </c>
      <c r="F1221" s="409" t="s">
        <v>5825</v>
      </c>
      <c r="G1221" s="409" t="s">
        <v>5826</v>
      </c>
      <c r="H1221" s="465">
        <v>327.13407999999998</v>
      </c>
      <c r="I1221" s="465">
        <v>11.762219999999999</v>
      </c>
      <c r="J1221" s="465">
        <v>43.084800000000001</v>
      </c>
      <c r="K1221" s="465">
        <v>4687.9854999999998</v>
      </c>
      <c r="L1221" s="464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spojovacia lišta H10 3m čierna mat</v>
      </c>
      <c r="C1222" s="185">
        <f t="shared" si="39"/>
        <v>15.82174</v>
      </c>
      <c r="D1222" s="409" t="s">
        <v>1357</v>
      </c>
      <c r="E1222" s="409" t="s">
        <v>1809</v>
      </c>
      <c r="F1222" s="409" t="s">
        <v>5827</v>
      </c>
      <c r="G1222" s="409" t="s">
        <v>2374</v>
      </c>
      <c r="H1222" s="465">
        <v>440.03877999999997</v>
      </c>
      <c r="I1222" s="465">
        <v>15.82174</v>
      </c>
      <c r="J1222" s="465">
        <v>67.289400000000001</v>
      </c>
      <c r="K1222" s="465">
        <v>6305.9629800000002</v>
      </c>
      <c r="L1222" s="464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horný vodiaci profil 4m strieborný</v>
      </c>
      <c r="C1223" s="185">
        <f t="shared" si="39"/>
        <v>0</v>
      </c>
      <c r="D1223" s="409" t="s">
        <v>6996</v>
      </c>
      <c r="E1223" s="409" t="s">
        <v>6997</v>
      </c>
      <c r="F1223" s="409" t="s">
        <v>6998</v>
      </c>
      <c r="G1223" s="409" t="s">
        <v>6999</v>
      </c>
      <c r="H1223" s="465">
        <v>0</v>
      </c>
      <c r="I1223" s="465">
        <v>0</v>
      </c>
      <c r="J1223" s="465">
        <v>0</v>
      </c>
      <c r="K1223" s="465">
        <v>0</v>
      </c>
      <c r="L1223" s="464" t="s">
        <v>540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S-sada kovania S45-predné dvere</v>
      </c>
      <c r="C1224" s="185">
        <f t="shared" si="39"/>
        <v>22.180959999999999</v>
      </c>
      <c r="D1224" s="409" t="s">
        <v>7000</v>
      </c>
      <c r="E1224" s="409" t="s">
        <v>7001</v>
      </c>
      <c r="F1224" s="409" t="s">
        <v>7002</v>
      </c>
      <c r="G1224" s="409" t="s">
        <v>7003</v>
      </c>
      <c r="H1224" s="465">
        <v>543.08799999999997</v>
      </c>
      <c r="I1224" s="465">
        <v>22.180959999999999</v>
      </c>
      <c r="J1224" s="465">
        <v>100.44356000000001</v>
      </c>
      <c r="K1224" s="465">
        <v>9416.4451700000009</v>
      </c>
      <c r="L1224" s="464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S-sada kovania S45 - zadné dvere</v>
      </c>
      <c r="C1225" s="185">
        <f t="shared" si="39"/>
        <v>15.520720000000001</v>
      </c>
      <c r="D1225" s="409" t="s">
        <v>7004</v>
      </c>
      <c r="E1225" s="409" t="s">
        <v>7005</v>
      </c>
      <c r="F1225" s="409" t="s">
        <v>7006</v>
      </c>
      <c r="G1225" s="409" t="s">
        <v>7007</v>
      </c>
      <c r="H1225" s="465">
        <v>380.01600000000002</v>
      </c>
      <c r="I1225" s="465">
        <v>15.520720000000001</v>
      </c>
      <c r="J1225" s="465">
        <v>70.283580000000001</v>
      </c>
      <c r="K1225" s="465">
        <v>6588.9870899999996</v>
      </c>
      <c r="L1225" s="464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tlmenie k sade S45 predné</v>
      </c>
      <c r="C1226" s="185">
        <f t="shared" si="39"/>
        <v>15.401809999999999</v>
      </c>
      <c r="D1226" s="409" t="s">
        <v>7008</v>
      </c>
      <c r="E1226" s="409" t="s">
        <v>7009</v>
      </c>
      <c r="F1226" s="409" t="s">
        <v>7010</v>
      </c>
      <c r="G1226" s="409" t="s">
        <v>7011</v>
      </c>
      <c r="H1226" s="465">
        <v>377.10399999999998</v>
      </c>
      <c r="I1226" s="465">
        <v>15.401809999999999</v>
      </c>
      <c r="J1226" s="465">
        <v>69.745009999999994</v>
      </c>
      <c r="K1226" s="465">
        <v>6538.4967699999997</v>
      </c>
      <c r="L1226" s="464" t="s">
        <v>537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tlmenie k sade S45 chrbtovné</v>
      </c>
      <c r="C1227" s="185">
        <f t="shared" si="39"/>
        <v>15.401809999999999</v>
      </c>
      <c r="D1227" s="409" t="s">
        <v>7012</v>
      </c>
      <c r="E1227" s="409" t="s">
        <v>7013</v>
      </c>
      <c r="F1227" s="409" t="s">
        <v>7014</v>
      </c>
      <c r="G1227" s="409" t="s">
        <v>7015</v>
      </c>
      <c r="H1227" s="465">
        <v>377.10399999999998</v>
      </c>
      <c r="I1227" s="465">
        <v>15.401809999999999</v>
      </c>
      <c r="J1227" s="465">
        <v>69.745009999999994</v>
      </c>
      <c r="K1227" s="465">
        <v>6538.4967699999997</v>
      </c>
      <c r="L1227" s="464" t="s">
        <v>537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9" t="e">
        <v>#N/A</v>
      </c>
      <c r="E1228" s="409" t="e">
        <v>#N/A</v>
      </c>
      <c r="F1228" s="409" t="e">
        <v>#N/A</v>
      </c>
      <c r="G1228" s="409" t="e">
        <v>#N/A</v>
      </c>
      <c r="H1228" s="465" t="e">
        <v>#N/A</v>
      </c>
      <c r="I1228" s="465" t="e">
        <v>#N/A</v>
      </c>
      <c r="J1228" s="465" t="e">
        <v>#N/A</v>
      </c>
      <c r="K1228" s="465" t="e">
        <v>#N/A</v>
      </c>
      <c r="L1228" s="464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9" t="e">
        <v>#N/A</v>
      </c>
      <c r="E1229" s="409" t="e">
        <v>#N/A</v>
      </c>
      <c r="F1229" s="409" t="e">
        <v>#N/A</v>
      </c>
      <c r="G1229" s="409" t="e">
        <v>#N/A</v>
      </c>
      <c r="H1229" s="465" t="e">
        <v>#N/A</v>
      </c>
      <c r="I1229" s="465" t="e">
        <v>#N/A</v>
      </c>
      <c r="J1229" s="465" t="e">
        <v>#N/A</v>
      </c>
      <c r="K1229" s="465" t="e">
        <v>#N/A</v>
      </c>
      <c r="L1229" s="464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9" t="e">
        <v>#N/A</v>
      </c>
      <c r="E1230" s="409" t="e">
        <v>#N/A</v>
      </c>
      <c r="F1230" s="409" t="e">
        <v>#N/A</v>
      </c>
      <c r="G1230" s="409" t="e">
        <v>#N/A</v>
      </c>
      <c r="H1230" s="465" t="e">
        <v>#N/A</v>
      </c>
      <c r="I1230" s="465" t="e">
        <v>#N/A</v>
      </c>
      <c r="J1230" s="465" t="e">
        <v>#N/A</v>
      </c>
      <c r="K1230" s="465" t="e">
        <v>#N/A</v>
      </c>
      <c r="L1230" s="464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9" t="e">
        <v>#N/A</v>
      </c>
      <c r="E1231" s="409" t="e">
        <v>#N/A</v>
      </c>
      <c r="F1231" s="409" t="e">
        <v>#N/A</v>
      </c>
      <c r="G1231" s="409" t="e">
        <v>#N/A</v>
      </c>
      <c r="H1231" s="465" t="e">
        <v>#N/A</v>
      </c>
      <c r="I1231" s="465" t="e">
        <v>#N/A</v>
      </c>
      <c r="J1231" s="465" t="e">
        <v>#N/A</v>
      </c>
      <c r="K1231" s="465" t="e">
        <v>#N/A</v>
      </c>
      <c r="L1231" s="464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9" t="e">
        <v>#N/A</v>
      </c>
      <c r="E1232" s="409" t="e">
        <v>#N/A</v>
      </c>
      <c r="F1232" s="409" t="e">
        <v>#N/A</v>
      </c>
      <c r="G1232" s="409" t="e">
        <v>#N/A</v>
      </c>
      <c r="H1232" s="465" t="e">
        <v>#N/A</v>
      </c>
      <c r="I1232" s="465" t="e">
        <v>#N/A</v>
      </c>
      <c r="J1232" s="465" t="e">
        <v>#N/A</v>
      </c>
      <c r="K1232" s="465" t="e">
        <v>#N/A</v>
      </c>
      <c r="L1232" s="464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9" t="e">
        <v>#N/A</v>
      </c>
      <c r="E1233" s="409" t="e">
        <v>#N/A</v>
      </c>
      <c r="F1233" s="409" t="e">
        <v>#N/A</v>
      </c>
      <c r="G1233" s="409" t="e">
        <v>#N/A</v>
      </c>
      <c r="H1233" s="465" t="e">
        <v>#N/A</v>
      </c>
      <c r="I1233" s="465" t="e">
        <v>#N/A</v>
      </c>
      <c r="J1233" s="465" t="e">
        <v>#N/A</v>
      </c>
      <c r="K1233" s="465" t="e">
        <v>#N/A</v>
      </c>
      <c r="L1233" s="464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9" t="e">
        <v>#N/A</v>
      </c>
      <c r="E1234" s="409" t="e">
        <v>#N/A</v>
      </c>
      <c r="F1234" s="409" t="e">
        <v>#N/A</v>
      </c>
      <c r="G1234" s="409" t="e">
        <v>#N/A</v>
      </c>
      <c r="H1234" s="465" t="e">
        <v>#N/A</v>
      </c>
      <c r="I1234" s="465" t="e">
        <v>#N/A</v>
      </c>
      <c r="J1234" s="465" t="e">
        <v>#N/A</v>
      </c>
      <c r="K1234" s="465" t="e">
        <v>#N/A</v>
      </c>
      <c r="L1234" s="464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9" t="e">
        <v>#N/A</v>
      </c>
      <c r="E1235" s="409" t="e">
        <v>#N/A</v>
      </c>
      <c r="F1235" s="409" t="e">
        <v>#N/A</v>
      </c>
      <c r="G1235" s="409" t="e">
        <v>#N/A</v>
      </c>
      <c r="H1235" s="465" t="e">
        <v>#N/A</v>
      </c>
      <c r="I1235" s="465" t="e">
        <v>#N/A</v>
      </c>
      <c r="J1235" s="465" t="e">
        <v>#N/A</v>
      </c>
      <c r="K1235" s="465" t="e">
        <v>#N/A</v>
      </c>
      <c r="L1235" s="464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9" t="e">
        <v>#N/A</v>
      </c>
      <c r="E1236" s="409" t="e">
        <v>#N/A</v>
      </c>
      <c r="F1236" s="409" t="e">
        <v>#N/A</v>
      </c>
      <c r="G1236" s="409" t="e">
        <v>#N/A</v>
      </c>
      <c r="H1236" s="465" t="e">
        <v>#N/A</v>
      </c>
      <c r="I1236" s="465" t="e">
        <v>#N/A</v>
      </c>
      <c r="J1236" s="465" t="e">
        <v>#N/A</v>
      </c>
      <c r="K1236" s="465" t="e">
        <v>#N/A</v>
      </c>
      <c r="L1236" s="464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9" t="e">
        <v>#N/A</v>
      </c>
      <c r="E1237" s="409" t="e">
        <v>#N/A</v>
      </c>
      <c r="F1237" s="409" t="e">
        <v>#N/A</v>
      </c>
      <c r="G1237" s="409" t="e">
        <v>#N/A</v>
      </c>
      <c r="H1237" s="465" t="e">
        <v>#N/A</v>
      </c>
      <c r="I1237" s="465" t="e">
        <v>#N/A</v>
      </c>
      <c r="J1237" s="465" t="e">
        <v>#N/A</v>
      </c>
      <c r="K1237" s="465" t="e">
        <v>#N/A</v>
      </c>
      <c r="L1237" s="464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9" t="e">
        <v>#N/A</v>
      </c>
      <c r="E1238" s="409" t="e">
        <v>#N/A</v>
      </c>
      <c r="F1238" s="409" t="e">
        <v>#N/A</v>
      </c>
      <c r="G1238" s="409" t="e">
        <v>#N/A</v>
      </c>
      <c r="H1238" s="465" t="e">
        <v>#N/A</v>
      </c>
      <c r="I1238" s="465" t="e">
        <v>#N/A</v>
      </c>
      <c r="J1238" s="465" t="e">
        <v>#N/A</v>
      </c>
      <c r="K1238" s="465" t="e">
        <v>#N/A</v>
      </c>
      <c r="L1238" s="464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9" t="e">
        <v>#N/A</v>
      </c>
      <c r="E1239" s="409" t="e">
        <v>#N/A</v>
      </c>
      <c r="F1239" s="409" t="e">
        <v>#N/A</v>
      </c>
      <c r="G1239" s="409" t="e">
        <v>#N/A</v>
      </c>
      <c r="H1239" s="465" t="e">
        <v>#N/A</v>
      </c>
      <c r="I1239" s="465" t="e">
        <v>#N/A</v>
      </c>
      <c r="J1239" s="465" t="e">
        <v>#N/A</v>
      </c>
      <c r="K1239" s="465" t="e">
        <v>#N/A</v>
      </c>
      <c r="L1239" s="464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sada Big 2m bez tlmenia, 40-45mm čierna mat</v>
      </c>
      <c r="C1240" s="185">
        <f t="shared" si="39"/>
        <v>105.11426</v>
      </c>
      <c r="D1240" s="409" t="s">
        <v>7016</v>
      </c>
      <c r="E1240" s="409" t="s">
        <v>7017</v>
      </c>
      <c r="F1240" s="409" t="s">
        <v>7018</v>
      </c>
      <c r="G1240" s="409" t="s">
        <v>7019</v>
      </c>
      <c r="H1240" s="465">
        <v>2943.1434100000001</v>
      </c>
      <c r="I1240" s="465">
        <v>105.11426</v>
      </c>
      <c r="J1240" s="465">
        <v>473.029</v>
      </c>
      <c r="K1240" s="465">
        <v>42129.674039999998</v>
      </c>
      <c r="L1240" s="464" t="s">
        <v>695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sada Big 2m s tlmením, 40-45mm čierna mat</v>
      </c>
      <c r="C1241" s="185">
        <f t="shared" si="39"/>
        <v>119.11815</v>
      </c>
      <c r="D1241" s="409" t="s">
        <v>7020</v>
      </c>
      <c r="E1241" s="409" t="s">
        <v>7021</v>
      </c>
      <c r="F1241" s="409" t="s">
        <v>7022</v>
      </c>
      <c r="G1241" s="409" t="s">
        <v>7023</v>
      </c>
      <c r="H1241" s="465">
        <v>3335.2450399999998</v>
      </c>
      <c r="I1241" s="465">
        <v>119.11815</v>
      </c>
      <c r="J1241" s="465">
        <v>536.47627999999997</v>
      </c>
      <c r="K1241" s="465">
        <v>47742.419179999997</v>
      </c>
      <c r="L1241" s="464" t="s">
        <v>695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sada Big 3m bez tlmenia, 40-45mm čierna mat</v>
      </c>
      <c r="C1242" s="185">
        <f t="shared" si="39"/>
        <v>121.24426</v>
      </c>
      <c r="D1242" s="409" t="s">
        <v>7024</v>
      </c>
      <c r="E1242" s="409" t="s">
        <v>7025</v>
      </c>
      <c r="F1242" s="409" t="s">
        <v>7026</v>
      </c>
      <c r="G1242" s="409" t="s">
        <v>7027</v>
      </c>
      <c r="H1242" s="465">
        <v>3394.7746400000001</v>
      </c>
      <c r="I1242" s="465">
        <v>121.24426</v>
      </c>
      <c r="J1242" s="465">
        <v>544.82457999999997</v>
      </c>
      <c r="K1242" s="465">
        <v>48594.55659</v>
      </c>
      <c r="L1242" s="464" t="s">
        <v>695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sada Big 3m s tlmením, 40-45mm čierna mat</v>
      </c>
      <c r="C1243" s="185">
        <f t="shared" si="39"/>
        <v>135.24815000000001</v>
      </c>
      <c r="D1243" s="409" t="s">
        <v>7028</v>
      </c>
      <c r="E1243" s="409" t="s">
        <v>7029</v>
      </c>
      <c r="F1243" s="409" t="s">
        <v>7030</v>
      </c>
      <c r="G1243" s="409" t="s">
        <v>7031</v>
      </c>
      <c r="H1243" s="465">
        <v>3786.8762700000002</v>
      </c>
      <c r="I1243" s="465">
        <v>135.24815000000001</v>
      </c>
      <c r="J1243" s="465">
        <v>608.27185999999995</v>
      </c>
      <c r="K1243" s="465">
        <v>54207.301729999999</v>
      </c>
      <c r="L1243" s="464" t="s">
        <v>695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sada Simple 2m bez tlmenia, 40-45mm čierna mat</v>
      </c>
      <c r="C1244" s="185">
        <f t="shared" si="39"/>
        <v>77.418329999999997</v>
      </c>
      <c r="D1244" s="409" t="s">
        <v>7032</v>
      </c>
      <c r="E1244" s="409" t="s">
        <v>7033</v>
      </c>
      <c r="F1244" s="409" t="s">
        <v>7034</v>
      </c>
      <c r="G1244" s="409" t="s">
        <v>7035</v>
      </c>
      <c r="H1244" s="465">
        <v>2167.6711500000001</v>
      </c>
      <c r="I1244" s="465">
        <v>77.418329999999997</v>
      </c>
      <c r="J1244" s="465">
        <v>347.54721999999998</v>
      </c>
      <c r="K1244" s="465">
        <v>31029.163929999999</v>
      </c>
      <c r="L1244" s="464" t="s">
        <v>695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sada Simple 2m s tlmením, 40-45mm čierna mat</v>
      </c>
      <c r="C1245" s="185">
        <f t="shared" si="39"/>
        <v>91.422219999999996</v>
      </c>
      <c r="D1245" s="409" t="s">
        <v>7036</v>
      </c>
      <c r="E1245" s="409" t="s">
        <v>7037</v>
      </c>
      <c r="F1245" s="409" t="s">
        <v>7038</v>
      </c>
      <c r="G1245" s="409" t="s">
        <v>7039</v>
      </c>
      <c r="H1245" s="465">
        <v>2559.7727799999998</v>
      </c>
      <c r="I1245" s="465">
        <v>91.422219999999996</v>
      </c>
      <c r="J1245" s="465">
        <v>410.99450000000002</v>
      </c>
      <c r="K1245" s="465">
        <v>36641.909070000002</v>
      </c>
      <c r="L1245" s="464" t="s">
        <v>695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sada Simple 3m bez tlmenia, 40-45mm čierna mat</v>
      </c>
      <c r="C1246" s="185">
        <f t="shared" si="39"/>
        <v>93.548330000000007</v>
      </c>
      <c r="D1246" s="409" t="s">
        <v>7040</v>
      </c>
      <c r="E1246" s="409" t="s">
        <v>7041</v>
      </c>
      <c r="F1246" s="409" t="s">
        <v>7042</v>
      </c>
      <c r="G1246" s="409" t="s">
        <v>7043</v>
      </c>
      <c r="H1246" s="465">
        <v>2619.3023800000001</v>
      </c>
      <c r="I1246" s="465">
        <v>93.548330000000007</v>
      </c>
      <c r="J1246" s="465">
        <v>419.34280000000001</v>
      </c>
      <c r="K1246" s="465">
        <v>37494.046479999997</v>
      </c>
      <c r="L1246" s="464" t="s">
        <v>695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sada Simple 3m s tlmením, 40-45mm čierna mat</v>
      </c>
      <c r="C1247" s="185">
        <f t="shared" si="39"/>
        <v>107.55222000000001</v>
      </c>
      <c r="D1247" s="409" t="s">
        <v>7044</v>
      </c>
      <c r="E1247" s="409" t="s">
        <v>7045</v>
      </c>
      <c r="F1247" s="409" t="s">
        <v>7046</v>
      </c>
      <c r="G1247" s="409" t="s">
        <v>7047</v>
      </c>
      <c r="H1247" s="465">
        <v>3011.4040100000002</v>
      </c>
      <c r="I1247" s="465">
        <v>107.55222000000001</v>
      </c>
      <c r="J1247" s="465">
        <v>482.79007999999999</v>
      </c>
      <c r="K1247" s="465">
        <v>43106.791620000004</v>
      </c>
      <c r="L1247" s="464" t="s">
        <v>695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sada Square 2m bez tlmenia, 40-45mm čierna mat</v>
      </c>
      <c r="C1248" s="185">
        <f t="shared" si="39"/>
        <v>100.46519000000001</v>
      </c>
      <c r="D1248" s="409" t="s">
        <v>7048</v>
      </c>
      <c r="E1248" s="409" t="s">
        <v>7049</v>
      </c>
      <c r="F1248" s="409" t="s">
        <v>7050</v>
      </c>
      <c r="G1248" s="409" t="s">
        <v>7051</v>
      </c>
      <c r="H1248" s="465">
        <v>2812.97201</v>
      </c>
      <c r="I1248" s="465">
        <v>100.46519000000001</v>
      </c>
      <c r="J1248" s="465">
        <v>451.96553</v>
      </c>
      <c r="K1248" s="465">
        <v>40266.333579999999</v>
      </c>
      <c r="L1248" s="464" t="s">
        <v>695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sada Square 2m s tlmením, 40-45mm čierna mat</v>
      </c>
      <c r="C1249" s="185">
        <f t="shared" si="39"/>
        <v>114.46908000000001</v>
      </c>
      <c r="D1249" s="409" t="s">
        <v>7052</v>
      </c>
      <c r="E1249" s="409" t="s">
        <v>7053</v>
      </c>
      <c r="F1249" s="409" t="s">
        <v>7054</v>
      </c>
      <c r="G1249" s="409" t="s">
        <v>7055</v>
      </c>
      <c r="H1249" s="465">
        <v>3205.0736400000001</v>
      </c>
      <c r="I1249" s="465">
        <v>114.46908000000001</v>
      </c>
      <c r="J1249" s="465">
        <v>515.41281000000004</v>
      </c>
      <c r="K1249" s="465">
        <v>45879.078719999998</v>
      </c>
      <c r="L1249" s="464" t="s">
        <v>695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sada Square 3m bez tlmenia, 40-45mm čierna mat</v>
      </c>
      <c r="C1250" s="185">
        <f t="shared" si="39"/>
        <v>116.59519</v>
      </c>
      <c r="D1250" s="409" t="s">
        <v>7056</v>
      </c>
      <c r="E1250" s="409" t="s">
        <v>7057</v>
      </c>
      <c r="F1250" s="409" t="s">
        <v>7058</v>
      </c>
      <c r="G1250" s="409" t="s">
        <v>7059</v>
      </c>
      <c r="H1250" s="465">
        <v>3264.6032399999999</v>
      </c>
      <c r="I1250" s="465">
        <v>116.59519</v>
      </c>
      <c r="J1250" s="465">
        <v>523.76111000000003</v>
      </c>
      <c r="K1250" s="465">
        <v>46731.216130000001</v>
      </c>
      <c r="L1250" s="464" t="s">
        <v>695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sada Square 3m s tlmením, 40-45mm čierna mat</v>
      </c>
      <c r="C1251" s="185">
        <f t="shared" si="39"/>
        <v>124.36252</v>
      </c>
      <c r="D1251" s="409" t="s">
        <v>7060</v>
      </c>
      <c r="E1251" s="409" t="s">
        <v>7061</v>
      </c>
      <c r="F1251" s="409" t="s">
        <v>7062</v>
      </c>
      <c r="G1251" s="409" t="s">
        <v>7063</v>
      </c>
      <c r="H1251" s="465">
        <v>3482.0847100000001</v>
      </c>
      <c r="I1251" s="465">
        <v>124.36252</v>
      </c>
      <c r="J1251" s="465">
        <v>560.23689000000002</v>
      </c>
      <c r="K1251" s="465">
        <v>49844.35817</v>
      </c>
      <c r="L1251" s="464" t="s">
        <v>695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Posuvné interiérové kovanie 1399 40kg 2x tlmič</v>
      </c>
      <c r="C1252" s="185">
        <f t="shared" si="39"/>
        <v>34.116439999999997</v>
      </c>
      <c r="D1252" s="409" t="s">
        <v>7064</v>
      </c>
      <c r="E1252" s="409" t="s">
        <v>7065</v>
      </c>
      <c r="F1252" s="409" t="s">
        <v>7066</v>
      </c>
      <c r="G1252" s="409" t="s">
        <v>7067</v>
      </c>
      <c r="H1252" s="465">
        <v>846.61711000000003</v>
      </c>
      <c r="I1252" s="465">
        <v>34.116439999999997</v>
      </c>
      <c r="J1252" s="465">
        <v>154.73929000000001</v>
      </c>
      <c r="K1252" s="465">
        <v>14887.341930000001</v>
      </c>
      <c r="L1252" s="464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Posuvné interiérové kovanie 1399/155 40kg 2x tlmič</v>
      </c>
      <c r="C1253" s="185">
        <f t="shared" si="39"/>
        <v>63.53087</v>
      </c>
      <c r="D1253" s="409" t="s">
        <v>7068</v>
      </c>
      <c r="E1253" s="409" t="s">
        <v>7069</v>
      </c>
      <c r="F1253" s="409" t="s">
        <v>7070</v>
      </c>
      <c r="G1253" s="409" t="s">
        <v>7071</v>
      </c>
      <c r="H1253" s="465">
        <v>1576.55108</v>
      </c>
      <c r="I1253" s="465">
        <v>63.53087</v>
      </c>
      <c r="J1253" s="465">
        <v>288.15197000000001</v>
      </c>
      <c r="K1253" s="465">
        <v>27722.86895</v>
      </c>
      <c r="L1253" s="464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Maxim horné vedenie 1,8m oliva</v>
      </c>
      <c r="C1254" s="185">
        <f t="shared" si="39"/>
        <v>17.77251</v>
      </c>
      <c r="D1254" s="409" t="s">
        <v>1358</v>
      </c>
      <c r="E1254" s="409" t="s">
        <v>1810</v>
      </c>
      <c r="F1254" s="409" t="s">
        <v>2152</v>
      </c>
      <c r="G1254" s="409" t="s">
        <v>2375</v>
      </c>
      <c r="H1254" s="465">
        <v>469.70317</v>
      </c>
      <c r="I1254" s="465">
        <v>17.77251</v>
      </c>
      <c r="J1254" s="465">
        <v>62.997520000000002</v>
      </c>
      <c r="K1254" s="465">
        <v>6982.69</v>
      </c>
      <c r="L1254" s="464" t="s">
        <v>540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str">
        <f t="shared" si="38"/>
        <v>SEVROLL Maxim spodná krycia lišta 1,8m 18mm oliva</v>
      </c>
      <c r="C1255" s="185" t="e">
        <f t="shared" si="39"/>
        <v>#N/A</v>
      </c>
      <c r="D1255" s="409" t="s">
        <v>1359</v>
      </c>
      <c r="E1255" s="409" t="s">
        <v>1811</v>
      </c>
      <c r="F1255" s="409" t="s">
        <v>2159</v>
      </c>
      <c r="G1255" s="409" t="s">
        <v>2376</v>
      </c>
      <c r="H1255" s="465" t="e">
        <v>#N/A</v>
      </c>
      <c r="I1255" s="465" t="e">
        <v>#N/A</v>
      </c>
      <c r="J1255" s="465" t="e">
        <v>#N/A</v>
      </c>
      <c r="K1255" s="465" t="e">
        <v>#N/A</v>
      </c>
      <c r="L1255" s="464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Posuvné interiérové kovanie 1399/190 40kg 2x tlmič</v>
      </c>
      <c r="C1256" s="185">
        <f t="shared" si="39"/>
        <v>69.685839999999999</v>
      </c>
      <c r="D1256" s="409" t="s">
        <v>7072</v>
      </c>
      <c r="E1256" s="409" t="s">
        <v>7073</v>
      </c>
      <c r="F1256" s="409" t="s">
        <v>7074</v>
      </c>
      <c r="G1256" s="409" t="s">
        <v>7075</v>
      </c>
      <c r="H1256" s="465">
        <v>1729.2900400000001</v>
      </c>
      <c r="I1256" s="465">
        <v>69.685839999999999</v>
      </c>
      <c r="J1256" s="465">
        <v>316.06862999999998</v>
      </c>
      <c r="K1256" s="465">
        <v>29789.55243</v>
      </c>
      <c r="L1256" s="464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Posuvné interiérové kovanie 1399/230 40kg 2x tlmič</v>
      </c>
      <c r="C1257" s="185">
        <f t="shared" si="39"/>
        <v>76.821629999999999</v>
      </c>
      <c r="D1257" s="409" t="s">
        <v>7076</v>
      </c>
      <c r="E1257" s="409" t="s">
        <v>7077</v>
      </c>
      <c r="F1257" s="409" t="s">
        <v>7078</v>
      </c>
      <c r="G1257" s="409" t="s">
        <v>7079</v>
      </c>
      <c r="H1257" s="465">
        <v>1906.3681799999999</v>
      </c>
      <c r="I1257" s="465">
        <v>76.821629999999999</v>
      </c>
      <c r="J1257" s="465">
        <v>348.43383999999998</v>
      </c>
      <c r="K1257" s="465">
        <v>32460.523399999998</v>
      </c>
      <c r="L1257" s="464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Posuvné interiérové kovanie 1399/280 40kg 2x tlmič</v>
      </c>
      <c r="C1258" s="185">
        <f t="shared" si="39"/>
        <v>84.962559999999996</v>
      </c>
      <c r="D1258" s="409" t="s">
        <v>7080</v>
      </c>
      <c r="E1258" s="409" t="s">
        <v>7081</v>
      </c>
      <c r="F1258" s="409" t="s">
        <v>7082</v>
      </c>
      <c r="G1258" s="409" t="s">
        <v>7083</v>
      </c>
      <c r="H1258" s="465">
        <v>2108.3894500000001</v>
      </c>
      <c r="I1258" s="465">
        <v>84.962559999999996</v>
      </c>
      <c r="J1258" s="465">
        <v>385.35800999999998</v>
      </c>
      <c r="K1258" s="465">
        <v>35099.63308</v>
      </c>
      <c r="L1258" s="464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Posuvné interiérové kovanie 1399/330 40kg 2x tlmič</v>
      </c>
      <c r="C1259" s="185">
        <f t="shared" si="39"/>
        <v>93.237350000000006</v>
      </c>
      <c r="D1259" s="409" t="s">
        <v>7084</v>
      </c>
      <c r="E1259" s="409" t="s">
        <v>7085</v>
      </c>
      <c r="F1259" s="409" t="s">
        <v>7086</v>
      </c>
      <c r="G1259" s="409" t="s">
        <v>7087</v>
      </c>
      <c r="H1259" s="465">
        <v>2313.73245</v>
      </c>
      <c r="I1259" s="465">
        <v>93.237350000000006</v>
      </c>
      <c r="J1259" s="465">
        <v>422.88929999999999</v>
      </c>
      <c r="K1259" s="465">
        <v>37935.216130000001</v>
      </c>
      <c r="L1259" s="464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17.423649999999999</v>
      </c>
      <c r="D1260" s="409" t="s">
        <v>7088</v>
      </c>
      <c r="E1260" s="409" t="s">
        <v>7088</v>
      </c>
      <c r="F1260" s="409" t="s">
        <v>7088</v>
      </c>
      <c r="G1260" s="409" t="s">
        <v>7088</v>
      </c>
      <c r="H1260" s="465">
        <v>426.608</v>
      </c>
      <c r="I1260" s="465">
        <v>17.423649999999999</v>
      </c>
      <c r="J1260" s="465">
        <v>78.900720000000007</v>
      </c>
      <c r="K1260" s="465">
        <v>7396.8322699999999</v>
      </c>
      <c r="L1260" s="464" t="s">
        <v>537</v>
      </c>
      <c r="O1260">
        <v>15.50155</v>
      </c>
      <c r="P1260" t="s">
        <v>7088</v>
      </c>
    </row>
    <row r="1261" spans="1:16" ht="14.4" x14ac:dyDescent="0.3">
      <c r="A1261">
        <v>416695</v>
      </c>
      <c r="B1261" t="str">
        <f t="shared" si="38"/>
        <v>SEVROLL Harmony sada kovania pre dvoje dvere</v>
      </c>
      <c r="C1261" s="185" t="e">
        <f t="shared" si="39"/>
        <v>#N/A</v>
      </c>
      <c r="D1261" s="409" t="s">
        <v>1360</v>
      </c>
      <c r="E1261" s="409" t="s">
        <v>1812</v>
      </c>
      <c r="F1261" s="409" t="s">
        <v>2160</v>
      </c>
      <c r="G1261" s="409" t="s">
        <v>2377</v>
      </c>
      <c r="H1261" s="465" t="e">
        <v>#N/A</v>
      </c>
      <c r="I1261" s="465" t="e">
        <v>#N/A</v>
      </c>
      <c r="J1261" s="465" t="e">
        <v>#N/A</v>
      </c>
      <c r="K1261" s="465" t="e">
        <v>#N/A</v>
      </c>
      <c r="L1261" s="464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úhelník Mini 17x11mm 4,05m strieborný</v>
      </c>
      <c r="C1262" s="185">
        <f t="shared" si="39"/>
        <v>0</v>
      </c>
      <c r="D1262" s="409" t="s">
        <v>5828</v>
      </c>
      <c r="E1262" s="409" t="s">
        <v>5829</v>
      </c>
      <c r="F1262" s="409" t="s">
        <v>5830</v>
      </c>
      <c r="G1262" s="409" t="s">
        <v>5831</v>
      </c>
      <c r="H1262" s="465">
        <v>0</v>
      </c>
      <c r="I1262" s="465">
        <v>0</v>
      </c>
      <c r="J1262" s="465">
        <v>30.166260000000001</v>
      </c>
      <c r="K1262" s="465">
        <v>0</v>
      </c>
      <c r="L1262" s="464" t="s">
        <v>540</v>
      </c>
      <c r="O1262">
        <v>0</v>
      </c>
      <c r="P1262" t="s">
        <v>9702</v>
      </c>
    </row>
    <row r="1263" spans="1:16" ht="14.4" x14ac:dyDescent="0.3">
      <c r="A1263">
        <v>464295</v>
      </c>
      <c r="B1263" t="str">
        <f t="shared" si="38"/>
        <v/>
      </c>
      <c r="C1263" s="185" t="e">
        <f t="shared" si="39"/>
        <v>#N/A</v>
      </c>
      <c r="D1263" s="409" t="s">
        <v>1361</v>
      </c>
      <c r="E1263" s="409" t="s">
        <v>68</v>
      </c>
      <c r="F1263" s="409" t="s">
        <v>68</v>
      </c>
      <c r="G1263" s="409" t="s">
        <v>68</v>
      </c>
      <c r="H1263" s="465" t="e">
        <v>#N/A</v>
      </c>
      <c r="I1263" s="465" t="e">
        <v>#N/A</v>
      </c>
      <c r="J1263" s="465" t="e">
        <v>#N/A</v>
      </c>
      <c r="K1263" s="465" t="e">
        <v>#N/A</v>
      </c>
      <c r="L1263" s="464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/>
      </c>
      <c r="C1264" s="185">
        <f t="shared" si="39"/>
        <v>2.5000000000000001E-4</v>
      </c>
      <c r="D1264" s="409" t="s">
        <v>1362</v>
      </c>
      <c r="E1264" s="409" t="s">
        <v>68</v>
      </c>
      <c r="F1264" s="409" t="s">
        <v>68</v>
      </c>
      <c r="G1264" s="409" t="s">
        <v>68</v>
      </c>
      <c r="H1264" s="465">
        <v>7.1199999999999996E-3</v>
      </c>
      <c r="I1264" s="465">
        <v>2.5000000000000001E-4</v>
      </c>
      <c r="J1264" s="465">
        <v>1</v>
      </c>
      <c r="K1264" s="465">
        <v>9.9199999999999997E-2</v>
      </c>
      <c r="L1264" s="464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sada kovanie pre 1 krídlo</v>
      </c>
      <c r="C1265" s="185">
        <f t="shared" si="39"/>
        <v>6.3495100000000004</v>
      </c>
      <c r="D1265" s="409" t="s">
        <v>1363</v>
      </c>
      <c r="E1265" s="409" t="s">
        <v>1813</v>
      </c>
      <c r="F1265" s="409" t="s">
        <v>5832</v>
      </c>
      <c r="G1265" s="409" t="s">
        <v>5833</v>
      </c>
      <c r="H1265" s="465">
        <v>176.59450000000001</v>
      </c>
      <c r="I1265" s="465">
        <v>6.3495100000000004</v>
      </c>
      <c r="J1265" s="465">
        <v>25.214400000000001</v>
      </c>
      <c r="K1265" s="465">
        <v>2530.6823199999999</v>
      </c>
      <c r="L1265" s="464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9" t="e">
        <v>#N/A</v>
      </c>
      <c r="E1266" s="409" t="e">
        <v>#N/A</v>
      </c>
      <c r="F1266" s="409" t="e">
        <v>#N/A</v>
      </c>
      <c r="G1266" s="409" t="e">
        <v>#N/A</v>
      </c>
      <c r="H1266" s="465" t="e">
        <v>#N/A</v>
      </c>
      <c r="I1266" s="465" t="e">
        <v>#N/A</v>
      </c>
      <c r="J1266" s="465" t="e">
        <v>#N/A</v>
      </c>
      <c r="K1266" s="465" t="e">
        <v>#N/A</v>
      </c>
      <c r="L1266" s="464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9" t="e">
        <v>#N/A</v>
      </c>
      <c r="E1267" s="409" t="e">
        <v>#N/A</v>
      </c>
      <c r="F1267" s="409" t="e">
        <v>#N/A</v>
      </c>
      <c r="G1267" s="409" t="e">
        <v>#N/A</v>
      </c>
      <c r="H1267" s="465" t="e">
        <v>#N/A</v>
      </c>
      <c r="I1267" s="465" t="e">
        <v>#N/A</v>
      </c>
      <c r="J1267" s="465" t="e">
        <v>#N/A</v>
      </c>
      <c r="K1267" s="465" t="e">
        <v>#N/A</v>
      </c>
      <c r="L1267" s="464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9" t="e">
        <v>#N/A</v>
      </c>
      <c r="E1268" s="409" t="e">
        <v>#N/A</v>
      </c>
      <c r="F1268" s="409" t="e">
        <v>#N/A</v>
      </c>
      <c r="G1268" s="409" t="e">
        <v>#N/A</v>
      </c>
      <c r="H1268" s="465" t="e">
        <v>#N/A</v>
      </c>
      <c r="I1268" s="465" t="e">
        <v>#N/A</v>
      </c>
      <c r="J1268" s="465" t="e">
        <v>#N/A</v>
      </c>
      <c r="K1268" s="465" t="e">
        <v>#N/A</v>
      </c>
      <c r="L1268" s="464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9" t="e">
        <v>#N/A</v>
      </c>
      <c r="E1269" s="409" t="e">
        <v>#N/A</v>
      </c>
      <c r="F1269" s="409" t="e">
        <v>#N/A</v>
      </c>
      <c r="G1269" s="409" t="e">
        <v>#N/A</v>
      </c>
      <c r="H1269" s="465" t="e">
        <v>#N/A</v>
      </c>
      <c r="I1269" s="465" t="e">
        <v>#N/A</v>
      </c>
      <c r="J1269" s="465" t="e">
        <v>#N/A</v>
      </c>
      <c r="K1269" s="465" t="e">
        <v>#N/A</v>
      </c>
      <c r="L1269" s="464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dolný vodiaci profil 2m svetlý bronz</v>
      </c>
      <c r="C1270" s="185">
        <f t="shared" si="39"/>
        <v>0</v>
      </c>
      <c r="D1270" s="409" t="s">
        <v>7089</v>
      </c>
      <c r="E1270" s="409" t="s">
        <v>7090</v>
      </c>
      <c r="F1270" s="409" t="s">
        <v>7091</v>
      </c>
      <c r="G1270" s="409" t="s">
        <v>68</v>
      </c>
      <c r="H1270" s="465">
        <v>0</v>
      </c>
      <c r="I1270" s="465">
        <v>0</v>
      </c>
      <c r="J1270" s="465">
        <v>0</v>
      </c>
      <c r="K1270" s="465">
        <v>0</v>
      </c>
      <c r="L1270" s="464" t="s">
        <v>540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krycí profil (maska) 2m svetlý bronz</v>
      </c>
      <c r="C1271" s="185">
        <f t="shared" si="39"/>
        <v>0</v>
      </c>
      <c r="D1271" s="409" t="s">
        <v>7092</v>
      </c>
      <c r="E1271" s="409" t="s">
        <v>7093</v>
      </c>
      <c r="F1271" s="409" t="s">
        <v>7094</v>
      </c>
      <c r="G1271" s="409" t="s">
        <v>68</v>
      </c>
      <c r="H1271" s="465">
        <v>0</v>
      </c>
      <c r="I1271" s="465">
        <v>0</v>
      </c>
      <c r="J1271" s="465">
        <v>0</v>
      </c>
      <c r="K1271" s="465">
        <v>0</v>
      </c>
      <c r="L1271" s="464" t="s">
        <v>540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horný vodiaci profil 2m svetlý bronz</v>
      </c>
      <c r="C1272" s="185">
        <f t="shared" si="39"/>
        <v>0</v>
      </c>
      <c r="D1272" s="409" t="s">
        <v>7095</v>
      </c>
      <c r="E1272" s="409" t="s">
        <v>7096</v>
      </c>
      <c r="F1272" s="409" t="s">
        <v>7097</v>
      </c>
      <c r="G1272" s="409" t="s">
        <v>68</v>
      </c>
      <c r="H1272" s="465">
        <v>0</v>
      </c>
      <c r="I1272" s="465">
        <v>0</v>
      </c>
      <c r="J1272" s="465">
        <v>0</v>
      </c>
      <c r="K1272" s="465">
        <v>0</v>
      </c>
      <c r="L1272" s="464" t="s">
        <v>540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horný a stredná profil 4/18mm 2m svetlý bronz</v>
      </c>
      <c r="C1273" s="185">
        <f t="shared" si="39"/>
        <v>0</v>
      </c>
      <c r="D1273" s="409" t="s">
        <v>7098</v>
      </c>
      <c r="E1273" s="409" t="s">
        <v>7099</v>
      </c>
      <c r="F1273" s="409" t="s">
        <v>7100</v>
      </c>
      <c r="G1273" s="409" t="s">
        <v>68</v>
      </c>
      <c r="H1273" s="465">
        <v>0</v>
      </c>
      <c r="I1273" s="465">
        <v>0</v>
      </c>
      <c r="J1273" s="465">
        <v>0</v>
      </c>
      <c r="K1273" s="465">
        <v>0</v>
      </c>
      <c r="L1273" s="464" t="s">
        <v>540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dolný profil 4/18mm 2m svetlý bronz</v>
      </c>
      <c r="C1274" s="185">
        <f t="shared" si="39"/>
        <v>0</v>
      </c>
      <c r="D1274" s="409" t="s">
        <v>7101</v>
      </c>
      <c r="E1274" s="409" t="s">
        <v>7102</v>
      </c>
      <c r="F1274" s="409" t="s">
        <v>7103</v>
      </c>
      <c r="G1274" s="409" t="s">
        <v>68</v>
      </c>
      <c r="H1274" s="465">
        <v>0</v>
      </c>
      <c r="I1274" s="465">
        <v>0</v>
      </c>
      <c r="J1274" s="465">
        <v>0</v>
      </c>
      <c r="K1274" s="465">
        <v>0</v>
      </c>
      <c r="L1274" s="464" t="s">
        <v>540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spojovacia skrutka na dvere 30-40mm čierna mat</v>
      </c>
      <c r="C1275" s="185">
        <f t="shared" si="39"/>
        <v>0.73704999999999998</v>
      </c>
      <c r="D1275" s="409" t="s">
        <v>7104</v>
      </c>
      <c r="E1275" s="409" t="s">
        <v>7105</v>
      </c>
      <c r="F1275" s="409" t="s">
        <v>7106</v>
      </c>
      <c r="G1275" s="409" t="s">
        <v>7107</v>
      </c>
      <c r="H1275" s="465">
        <v>20.63693</v>
      </c>
      <c r="I1275" s="465">
        <v>0.73704999999999998</v>
      </c>
      <c r="J1275" s="465">
        <v>3.3393299999999999</v>
      </c>
      <c r="K1275" s="465">
        <v>295.40762999999998</v>
      </c>
      <c r="L1275" s="464" t="s">
        <v>695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spojovacia skrutka na dvere 40-45mm čierna mat</v>
      </c>
      <c r="C1276" s="185">
        <f t="shared" si="39"/>
        <v>0.65200000000000002</v>
      </c>
      <c r="D1276" s="409" t="s">
        <v>7108</v>
      </c>
      <c r="E1276" s="409" t="s">
        <v>7109</v>
      </c>
      <c r="F1276" s="409" t="s">
        <v>7110</v>
      </c>
      <c r="G1276" s="409" t="s">
        <v>7111</v>
      </c>
      <c r="H1276" s="465">
        <v>18.255739999999999</v>
      </c>
      <c r="I1276" s="465">
        <v>0.65200000000000002</v>
      </c>
      <c r="J1276" s="465">
        <v>2.9540299999999999</v>
      </c>
      <c r="K1276" s="465">
        <v>261.32215000000002</v>
      </c>
      <c r="L1276" s="464" t="s">
        <v>695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9" t="e">
        <v>#N/A</v>
      </c>
      <c r="E1277" s="409" t="e">
        <v>#N/A</v>
      </c>
      <c r="F1277" s="409" t="e">
        <v>#N/A</v>
      </c>
      <c r="G1277" s="409" t="e">
        <v>#N/A</v>
      </c>
      <c r="H1277" s="465" t="e">
        <v>#N/A</v>
      </c>
      <c r="I1277" s="465" t="e">
        <v>#N/A</v>
      </c>
      <c r="J1277" s="465" t="e">
        <v>#N/A</v>
      </c>
      <c r="K1277" s="465" t="e">
        <v>#N/A</v>
      </c>
      <c r="L1277" s="464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Zatvárač s indikátorom obsadené/voľné pre lamino 18 mm</v>
      </c>
      <c r="C1278" s="185">
        <f t="shared" si="39"/>
        <v>30.995999999999999</v>
      </c>
      <c r="D1278" s="409" t="s">
        <v>7112</v>
      </c>
      <c r="E1278" s="409" t="s">
        <v>7113</v>
      </c>
      <c r="F1278" s="409" t="s">
        <v>7114</v>
      </c>
      <c r="G1278" s="409" t="s">
        <v>7115</v>
      </c>
      <c r="H1278" s="465">
        <v>808.00800000000004</v>
      </c>
      <c r="I1278" s="465">
        <v>30.995999999999999</v>
      </c>
      <c r="J1278" s="465">
        <v>144.50549000000001</v>
      </c>
      <c r="K1278" s="465">
        <v>11805.9375</v>
      </c>
      <c r="L1278" s="464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rektifikačná nožka VS-U univerzální 18 mm</v>
      </c>
      <c r="C1279" s="185">
        <f t="shared" si="39"/>
        <v>25.046379999999999</v>
      </c>
      <c r="D1279" s="409" t="s">
        <v>7116</v>
      </c>
      <c r="E1279" s="409" t="s">
        <v>7117</v>
      </c>
      <c r="F1279" s="409" t="s">
        <v>7118</v>
      </c>
      <c r="G1279" s="409" t="s">
        <v>7119</v>
      </c>
      <c r="H1279" s="465">
        <v>653.17269999999996</v>
      </c>
      <c r="I1279" s="465">
        <v>25.046379999999999</v>
      </c>
      <c r="J1279" s="465">
        <v>116.62667999999999</v>
      </c>
      <c r="K1279" s="465">
        <v>9969.5377200000003</v>
      </c>
      <c r="L1279" s="464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 U bočný 18 mm, dĺžka 2 m</v>
      </c>
      <c r="C1280" s="185">
        <f t="shared" si="39"/>
        <v>17.900189999999998</v>
      </c>
      <c r="D1280" s="409" t="s">
        <v>7120</v>
      </c>
      <c r="E1280" s="409" t="s">
        <v>7121</v>
      </c>
      <c r="F1280" s="409" t="s">
        <v>7122</v>
      </c>
      <c r="G1280" s="409" t="s">
        <v>7123</v>
      </c>
      <c r="H1280" s="465">
        <v>466.62461999999999</v>
      </c>
      <c r="I1280" s="465">
        <v>17.900189999999998</v>
      </c>
      <c r="J1280" s="465">
        <v>83.451909999999998</v>
      </c>
      <c r="K1280" s="465">
        <v>7129.3541800000003</v>
      </c>
      <c r="L1280" s="464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 U bočný 13 mm, dĺžka 2 m</v>
      </c>
      <c r="C1281" s="185">
        <f t="shared" si="39"/>
        <v>17.900189999999998</v>
      </c>
      <c r="D1281" s="409" t="s">
        <v>7124</v>
      </c>
      <c r="E1281" s="409" t="s">
        <v>7125</v>
      </c>
      <c r="F1281" s="409" t="s">
        <v>7126</v>
      </c>
      <c r="G1281" s="409" t="s">
        <v>7127</v>
      </c>
      <c r="H1281" s="465">
        <v>466.62461999999999</v>
      </c>
      <c r="I1281" s="465">
        <v>17.900189999999998</v>
      </c>
      <c r="J1281" s="465">
        <v>83.451909999999998</v>
      </c>
      <c r="K1281" s="465">
        <v>7129.3541800000003</v>
      </c>
      <c r="L1281" s="464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 U bočný 25 mm, dĺžka 2 m</v>
      </c>
      <c r="C1282" s="185">
        <f t="shared" si="39"/>
        <v>17.900189999999998</v>
      </c>
      <c r="D1282" s="409" t="s">
        <v>7128</v>
      </c>
      <c r="E1282" s="409" t="s">
        <v>7129</v>
      </c>
      <c r="F1282" s="409" t="s">
        <v>7130</v>
      </c>
      <c r="G1282" s="409" t="s">
        <v>7131</v>
      </c>
      <c r="H1282" s="465">
        <v>466.62461999999999</v>
      </c>
      <c r="I1282" s="465">
        <v>17.900189999999998</v>
      </c>
      <c r="J1282" s="465">
        <v>83.451909999999998</v>
      </c>
      <c r="K1282" s="465">
        <v>7129.3541800000003</v>
      </c>
      <c r="L1282" s="464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17.423649999999999</v>
      </c>
      <c r="D1283" s="409" t="s">
        <v>7132</v>
      </c>
      <c r="E1283" s="409" t="s">
        <v>7132</v>
      </c>
      <c r="F1283" s="409" t="s">
        <v>7132</v>
      </c>
      <c r="G1283" s="409" t="s">
        <v>7132</v>
      </c>
      <c r="H1283" s="465">
        <v>426.608</v>
      </c>
      <c r="I1283" s="465">
        <v>17.423649999999999</v>
      </c>
      <c r="J1283" s="465">
        <v>78.900720000000007</v>
      </c>
      <c r="K1283" s="465">
        <v>7396.8322699999999</v>
      </c>
      <c r="L1283" s="464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S-sada kovania S80</v>
      </c>
      <c r="C1284" s="185">
        <f t="shared" ref="C1284:C1347" si="41">IF($A$2=1,H1284,IF($A$2=2,I1284,IF($A$2=3,J1284,IF($A$2=4,K1284,IF($A$2&gt;4,O1284,"zadat jazyk")))))</f>
        <v>24.321770000000001</v>
      </c>
      <c r="D1284" s="409" t="s">
        <v>7133</v>
      </c>
      <c r="E1284" s="409" t="s">
        <v>7134</v>
      </c>
      <c r="F1284" s="409" t="s">
        <v>7135</v>
      </c>
      <c r="G1284" s="409" t="s">
        <v>7136</v>
      </c>
      <c r="H1284" s="465">
        <v>595.50400000000002</v>
      </c>
      <c r="I1284" s="465">
        <v>24.321770000000001</v>
      </c>
      <c r="J1284" s="465">
        <v>110.13785</v>
      </c>
      <c r="K1284" s="465">
        <v>10325.27096</v>
      </c>
      <c r="L1284" s="464" t="s">
        <v>537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 - S40/80 - horná lišta alu 2m</v>
      </c>
      <c r="C1285" s="185">
        <f t="shared" si="41"/>
        <v>0</v>
      </c>
      <c r="D1285" s="409" t="s">
        <v>7137</v>
      </c>
      <c r="E1285" s="409" t="s">
        <v>7138</v>
      </c>
      <c r="F1285" s="409" t="s">
        <v>7139</v>
      </c>
      <c r="G1285" s="409" t="s">
        <v>7140</v>
      </c>
      <c r="H1285" s="465">
        <v>0</v>
      </c>
      <c r="I1285" s="465">
        <v>0</v>
      </c>
      <c r="J1285" s="465">
        <v>0</v>
      </c>
      <c r="K1285" s="465">
        <v>0</v>
      </c>
      <c r="L1285" s="464" t="s">
        <v>540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 OS1 1200-1399mm</v>
      </c>
      <c r="C1286" s="185">
        <f t="shared" si="41"/>
        <v>979.89806999999996</v>
      </c>
      <c r="D1286" s="409" t="s">
        <v>7141</v>
      </c>
      <c r="E1286" s="409" t="s">
        <v>7142</v>
      </c>
      <c r="F1286" s="409" t="s">
        <v>7141</v>
      </c>
      <c r="G1286" s="409" t="s">
        <v>7143</v>
      </c>
      <c r="H1286" s="465">
        <v>26893.022990000001</v>
      </c>
      <c r="I1286" s="465">
        <v>979.89806999999996</v>
      </c>
      <c r="J1286" s="465">
        <v>3999.31457</v>
      </c>
      <c r="K1286" s="465">
        <v>450634.39062999998</v>
      </c>
      <c r="L1286" s="464" t="s">
        <v>539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 OS2 1400-1599mm</v>
      </c>
      <c r="C1287" s="185">
        <f t="shared" si="41"/>
        <v>996.77178000000004</v>
      </c>
      <c r="D1287" s="409" t="s">
        <v>7144</v>
      </c>
      <c r="E1287" s="409" t="s">
        <v>7145</v>
      </c>
      <c r="F1287" s="409" t="s">
        <v>7144</v>
      </c>
      <c r="G1287" s="409" t="s">
        <v>7146</v>
      </c>
      <c r="H1287" s="465">
        <v>27356.117200000001</v>
      </c>
      <c r="I1287" s="465">
        <v>996.77178000000004</v>
      </c>
      <c r="J1287" s="465">
        <v>4068.1822299999999</v>
      </c>
      <c r="K1287" s="465">
        <v>458394.25400000002</v>
      </c>
      <c r="L1287" s="464" t="s">
        <v>539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 OS3 1600-1799mm</v>
      </c>
      <c r="C1288" s="185">
        <f t="shared" si="41"/>
        <v>1013.52323</v>
      </c>
      <c r="D1288" s="409" t="s">
        <v>7147</v>
      </c>
      <c r="E1288" s="409" t="s">
        <v>7148</v>
      </c>
      <c r="F1288" s="409" t="s">
        <v>7147</v>
      </c>
      <c r="G1288" s="409" t="s">
        <v>7149</v>
      </c>
      <c r="H1288" s="465">
        <v>27815.85569</v>
      </c>
      <c r="I1288" s="465">
        <v>1013.52323</v>
      </c>
      <c r="J1288" s="465">
        <v>4136.5508600000003</v>
      </c>
      <c r="K1288" s="465">
        <v>466097.88678</v>
      </c>
      <c r="L1288" s="464" t="s">
        <v>539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 OS4 1800-1999mm</v>
      </c>
      <c r="C1289" s="185">
        <f t="shared" si="41"/>
        <v>1063.28844</v>
      </c>
      <c r="D1289" s="409" t="s">
        <v>7150</v>
      </c>
      <c r="E1289" s="409" t="s">
        <v>7151</v>
      </c>
      <c r="F1289" s="409" t="s">
        <v>7150</v>
      </c>
      <c r="G1289" s="409" t="s">
        <v>7152</v>
      </c>
      <c r="H1289" s="465">
        <v>29181.648079999999</v>
      </c>
      <c r="I1289" s="465">
        <v>1063.28844</v>
      </c>
      <c r="J1289" s="465">
        <v>4339.6605399999999</v>
      </c>
      <c r="K1289" s="465">
        <v>488983.86096999998</v>
      </c>
      <c r="L1289" s="464" t="s">
        <v>539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 OS5 2000-2199mm</v>
      </c>
      <c r="C1290" s="185">
        <f t="shared" si="41"/>
        <v>1080.03988</v>
      </c>
      <c r="D1290" s="409" t="s">
        <v>7153</v>
      </c>
      <c r="E1290" s="409" t="s">
        <v>7154</v>
      </c>
      <c r="F1290" s="409" t="s">
        <v>7153</v>
      </c>
      <c r="G1290" s="409" t="s">
        <v>7155</v>
      </c>
      <c r="H1290" s="465">
        <v>29641.386559999999</v>
      </c>
      <c r="I1290" s="465">
        <v>1080.03988</v>
      </c>
      <c r="J1290" s="465">
        <v>4408.0291399999996</v>
      </c>
      <c r="K1290" s="465">
        <v>496687.49338</v>
      </c>
      <c r="L1290" s="464" t="s">
        <v>539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 OS6 2200-2400mm</v>
      </c>
      <c r="C1291" s="185">
        <f t="shared" si="41"/>
        <v>1096.5467699999999</v>
      </c>
      <c r="D1291" s="409" t="s">
        <v>7156</v>
      </c>
      <c r="E1291" s="409" t="s">
        <v>7157</v>
      </c>
      <c r="F1291" s="409" t="s">
        <v>7156</v>
      </c>
      <c r="G1291" s="409" t="s">
        <v>7158</v>
      </c>
      <c r="H1291" s="465">
        <v>30094.413530000002</v>
      </c>
      <c r="I1291" s="465">
        <v>1096.5467699999999</v>
      </c>
      <c r="J1291" s="465">
        <v>4475.3996900000002</v>
      </c>
      <c r="K1291" s="465">
        <v>504278.66428000003</v>
      </c>
      <c r="L1291" s="464" t="s">
        <v>539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 S1 1200-1399mm</v>
      </c>
      <c r="C1292" s="185">
        <f t="shared" si="41"/>
        <v>979.89806999999996</v>
      </c>
      <c r="D1292" s="409" t="s">
        <v>7159</v>
      </c>
      <c r="E1292" s="409" t="s">
        <v>7160</v>
      </c>
      <c r="F1292" s="409" t="s">
        <v>7159</v>
      </c>
      <c r="G1292" s="409" t="s">
        <v>7161</v>
      </c>
      <c r="H1292" s="465">
        <v>26893.022990000001</v>
      </c>
      <c r="I1292" s="465">
        <v>979.89806999999996</v>
      </c>
      <c r="J1292" s="465">
        <v>3999.31457</v>
      </c>
      <c r="K1292" s="465">
        <v>450634.39062999998</v>
      </c>
      <c r="L1292" s="464" t="s">
        <v>539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 S2 1400-1599mm</v>
      </c>
      <c r="C1293" s="185">
        <f t="shared" si="41"/>
        <v>996.77178000000004</v>
      </c>
      <c r="D1293" s="409" t="s">
        <v>7162</v>
      </c>
      <c r="E1293" s="409" t="s">
        <v>7163</v>
      </c>
      <c r="F1293" s="409" t="s">
        <v>7162</v>
      </c>
      <c r="G1293" s="409" t="s">
        <v>7164</v>
      </c>
      <c r="H1293" s="465">
        <v>27356.117200000001</v>
      </c>
      <c r="I1293" s="465">
        <v>996.77178000000004</v>
      </c>
      <c r="J1293" s="465">
        <v>4068.1822299999999</v>
      </c>
      <c r="K1293" s="465">
        <v>458394.25400000002</v>
      </c>
      <c r="L1293" s="464" t="s">
        <v>539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 S5 2000-2199mm</v>
      </c>
      <c r="C1294" s="185">
        <f t="shared" si="41"/>
        <v>1080.03988</v>
      </c>
      <c r="D1294" s="409" t="s">
        <v>7165</v>
      </c>
      <c r="E1294" s="409" t="s">
        <v>7166</v>
      </c>
      <c r="F1294" s="409" t="s">
        <v>7165</v>
      </c>
      <c r="G1294" s="409" t="s">
        <v>7167</v>
      </c>
      <c r="H1294" s="465">
        <v>29641.386559999999</v>
      </c>
      <c r="I1294" s="465">
        <v>1080.03988</v>
      </c>
      <c r="J1294" s="465">
        <v>4408.0291399999996</v>
      </c>
      <c r="K1294" s="465">
        <v>496687.49338</v>
      </c>
      <c r="L1294" s="464" t="s">
        <v>539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 S6 2200-2400mm</v>
      </c>
      <c r="C1295" s="185">
        <f t="shared" si="41"/>
        <v>1096.5467699999999</v>
      </c>
      <c r="D1295" s="409" t="s">
        <v>7168</v>
      </c>
      <c r="E1295" s="409" t="s">
        <v>7169</v>
      </c>
      <c r="F1295" s="409" t="s">
        <v>7168</v>
      </c>
      <c r="G1295" s="409" t="s">
        <v>7170</v>
      </c>
      <c r="H1295" s="465">
        <v>30094.413530000002</v>
      </c>
      <c r="I1295" s="465">
        <v>1096.5467699999999</v>
      </c>
      <c r="J1295" s="465">
        <v>4475.3996900000002</v>
      </c>
      <c r="K1295" s="465">
        <v>504278.66428000003</v>
      </c>
      <c r="L1295" s="464" t="s">
        <v>539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 S 1200-1799mm sada kovanie</v>
      </c>
      <c r="C1296" s="185">
        <f t="shared" si="41"/>
        <v>886.35901000000001</v>
      </c>
      <c r="D1296" s="409" t="s">
        <v>7171</v>
      </c>
      <c r="E1296" s="409" t="s">
        <v>7172</v>
      </c>
      <c r="F1296" s="409" t="s">
        <v>7173</v>
      </c>
      <c r="G1296" s="409" t="s">
        <v>7174</v>
      </c>
      <c r="H1296" s="465">
        <v>24325.870159999999</v>
      </c>
      <c r="I1296" s="465">
        <v>886.35901000000001</v>
      </c>
      <c r="J1296" s="465">
        <v>3617.5482200000001</v>
      </c>
      <c r="K1296" s="465">
        <v>407617.75624999998</v>
      </c>
      <c r="L1296" s="464" t="s">
        <v>539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 M 1800-2199mm sada kovanie</v>
      </c>
      <c r="C1297" s="185">
        <f t="shared" si="41"/>
        <v>900.66497000000004</v>
      </c>
      <c r="D1297" s="409" t="s">
        <v>7175</v>
      </c>
      <c r="E1297" s="409" t="s">
        <v>7176</v>
      </c>
      <c r="F1297" s="409" t="s">
        <v>7177</v>
      </c>
      <c r="G1297" s="409" t="s">
        <v>7178</v>
      </c>
      <c r="H1297" s="465">
        <v>24718.493539999999</v>
      </c>
      <c r="I1297" s="465">
        <v>900.66497000000004</v>
      </c>
      <c r="J1297" s="465">
        <v>3675.9360099999999</v>
      </c>
      <c r="K1297" s="465">
        <v>414196.77075000003</v>
      </c>
      <c r="L1297" s="464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 L 2200-2400mm sada kovanie</v>
      </c>
      <c r="C1298" s="185">
        <f t="shared" si="41"/>
        <v>915.09324000000004</v>
      </c>
      <c r="D1298" s="409" t="s">
        <v>7179</v>
      </c>
      <c r="E1298" s="409" t="s">
        <v>7180</v>
      </c>
      <c r="F1298" s="409" t="s">
        <v>7181</v>
      </c>
      <c r="G1298" s="409" t="s">
        <v>7182</v>
      </c>
      <c r="H1298" s="465">
        <v>25114.472659999999</v>
      </c>
      <c r="I1298" s="465">
        <v>915.09324000000004</v>
      </c>
      <c r="J1298" s="465">
        <v>3734.8228399999998</v>
      </c>
      <c r="K1298" s="465">
        <v>404039.07361000002</v>
      </c>
      <c r="L1298" s="464" t="s">
        <v>539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 S 1200-1799mm sada vedenia</v>
      </c>
      <c r="C1299" s="185">
        <f t="shared" si="41"/>
        <v>300.30317000000002</v>
      </c>
      <c r="D1299" s="409" t="s">
        <v>7183</v>
      </c>
      <c r="E1299" s="409" t="s">
        <v>7184</v>
      </c>
      <c r="F1299" s="409" t="s">
        <v>7185</v>
      </c>
      <c r="G1299" s="409" t="s">
        <v>7186</v>
      </c>
      <c r="H1299" s="465">
        <v>8241.7350200000001</v>
      </c>
      <c r="I1299" s="465">
        <v>300.30317000000002</v>
      </c>
      <c r="J1299" s="465">
        <v>1225.6447000000001</v>
      </c>
      <c r="K1299" s="465">
        <v>132565.30465999999</v>
      </c>
      <c r="L1299" s="464" t="s">
        <v>539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 M 1800-2199mm sada vedenia</v>
      </c>
      <c r="C1300" s="185">
        <f t="shared" si="41"/>
        <v>342.97654999999997</v>
      </c>
      <c r="D1300" s="409" t="s">
        <v>7187</v>
      </c>
      <c r="E1300" s="409" t="s">
        <v>7188</v>
      </c>
      <c r="F1300" s="409" t="s">
        <v>7189</v>
      </c>
      <c r="G1300" s="409" t="s">
        <v>7190</v>
      </c>
      <c r="H1300" s="465">
        <v>9412.8936099999992</v>
      </c>
      <c r="I1300" s="465">
        <v>342.97654999999997</v>
      </c>
      <c r="J1300" s="465">
        <v>1399.8100099999999</v>
      </c>
      <c r="K1300" s="465">
        <v>157727.65969</v>
      </c>
      <c r="L1300" s="464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 L 2200-2400mm sada vedenia</v>
      </c>
      <c r="C1301" s="185">
        <f t="shared" si="41"/>
        <v>357.52708000000001</v>
      </c>
      <c r="D1301" s="409" t="s">
        <v>7191</v>
      </c>
      <c r="E1301" s="409" t="s">
        <v>7192</v>
      </c>
      <c r="F1301" s="409" t="s">
        <v>7193</v>
      </c>
      <c r="G1301" s="409" t="s">
        <v>7194</v>
      </c>
      <c r="H1301" s="465">
        <v>9812.2284899999995</v>
      </c>
      <c r="I1301" s="465">
        <v>357.52708000000001</v>
      </c>
      <c r="J1301" s="465">
        <v>1459.19588</v>
      </c>
      <c r="K1301" s="465">
        <v>157873.80942999999</v>
      </c>
      <c r="L1301" s="464" t="s">
        <v>539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IC-spodná krycia lišta 10mm 3m strieborná</v>
      </c>
      <c r="C1302" s="185">
        <f t="shared" si="41"/>
        <v>15.56329</v>
      </c>
      <c r="D1302" s="409" t="s">
        <v>7195</v>
      </c>
      <c r="E1302" s="409" t="s">
        <v>7196</v>
      </c>
      <c r="F1302" s="409" t="s">
        <v>7197</v>
      </c>
      <c r="G1302" s="409" t="s">
        <v>7198</v>
      </c>
      <c r="H1302" s="465">
        <v>650.125</v>
      </c>
      <c r="I1302" s="465">
        <v>15.56329</v>
      </c>
      <c r="J1302" s="465">
        <v>85.823059999999998</v>
      </c>
      <c r="K1302" s="465">
        <v>13086.38709</v>
      </c>
      <c r="L1302" s="464" t="s">
        <v>539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IC-spojovací H profil 10mm 3m  strieborn</v>
      </c>
      <c r="C1303" s="185">
        <f t="shared" si="41"/>
        <v>6.0618600000000002</v>
      </c>
      <c r="D1303" s="409" t="s">
        <v>7199</v>
      </c>
      <c r="E1303" s="409" t="s">
        <v>7200</v>
      </c>
      <c r="F1303" s="409" t="s">
        <v>7201</v>
      </c>
      <c r="G1303" s="409" t="s">
        <v>7202</v>
      </c>
      <c r="H1303" s="465">
        <v>252.875</v>
      </c>
      <c r="I1303" s="465">
        <v>6.0618600000000002</v>
      </c>
      <c r="J1303" s="465">
        <v>33.427799999999998</v>
      </c>
      <c r="K1303" s="465">
        <v>5090.1290399999998</v>
      </c>
      <c r="L1303" s="464" t="s">
        <v>539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IC-úchytová lišta Harmony 10mm 2,7m šampáň</v>
      </c>
      <c r="C1304" s="185">
        <f t="shared" si="41"/>
        <v>13.96269</v>
      </c>
      <c r="D1304" s="409" t="s">
        <v>7203</v>
      </c>
      <c r="E1304" s="409" t="s">
        <v>7204</v>
      </c>
      <c r="F1304" s="409" t="s">
        <v>7203</v>
      </c>
      <c r="G1304" s="409" t="s">
        <v>7205</v>
      </c>
      <c r="H1304" s="465">
        <v>582.75</v>
      </c>
      <c r="I1304" s="465">
        <v>13.96269</v>
      </c>
      <c r="J1304" s="465">
        <v>76.996619999999993</v>
      </c>
      <c r="K1304" s="465">
        <v>11730.19355</v>
      </c>
      <c r="L1304" s="464" t="s">
        <v>539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IC-Horná vodiaca lišta10mm 2m šampáň</v>
      </c>
      <c r="C1305" s="185">
        <f t="shared" si="41"/>
        <v>5.6191399999999998</v>
      </c>
      <c r="D1305" s="409" t="s">
        <v>7206</v>
      </c>
      <c r="E1305" s="409" t="s">
        <v>7207</v>
      </c>
      <c r="F1305" s="409" t="s">
        <v>7208</v>
      </c>
      <c r="G1305" s="409" t="s">
        <v>7209</v>
      </c>
      <c r="H1305" s="465">
        <v>234.5</v>
      </c>
      <c r="I1305" s="465">
        <v>5.6191399999999998</v>
      </c>
      <c r="J1305" s="465">
        <v>30.986440000000002</v>
      </c>
      <c r="K1305" s="465">
        <v>4720.2580699999999</v>
      </c>
      <c r="L1305" s="464" t="s">
        <v>539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IC-Horná vodiaca lišta10mm 3m šampáň</v>
      </c>
      <c r="C1306" s="185">
        <f t="shared" si="41"/>
        <v>8.2754499999999993</v>
      </c>
      <c r="D1306" s="409" t="s">
        <v>7210</v>
      </c>
      <c r="E1306" s="409" t="s">
        <v>7211</v>
      </c>
      <c r="F1306" s="409" t="s">
        <v>7212</v>
      </c>
      <c r="G1306" s="409" t="s">
        <v>7213</v>
      </c>
      <c r="H1306" s="465">
        <v>345.625</v>
      </c>
      <c r="I1306" s="465">
        <v>8.2754499999999993</v>
      </c>
      <c r="J1306" s="465">
        <v>45.63458</v>
      </c>
      <c r="K1306" s="465">
        <v>6957.0967799999999</v>
      </c>
      <c r="L1306" s="464" t="s">
        <v>539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IC-Horná vodiaca lišta10mm 5m šampáň</v>
      </c>
      <c r="C1307" s="185">
        <f t="shared" si="41"/>
        <v>12.566420000000001</v>
      </c>
      <c r="D1307" s="409" t="s">
        <v>7214</v>
      </c>
      <c r="E1307" s="409" t="s">
        <v>7215</v>
      </c>
      <c r="F1307" s="409" t="s">
        <v>7216</v>
      </c>
      <c r="G1307" s="409" t="s">
        <v>7217</v>
      </c>
      <c r="H1307" s="465">
        <v>525</v>
      </c>
      <c r="I1307" s="465">
        <v>12.566420000000001</v>
      </c>
      <c r="J1307" s="465">
        <v>69.296959999999999</v>
      </c>
      <c r="K1307" s="465">
        <v>10567.74195</v>
      </c>
      <c r="L1307" s="464" t="s">
        <v>539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IC-spodná krycia lišta 10mm 2m šampáň</v>
      </c>
      <c r="C1308" s="185">
        <f t="shared" si="41"/>
        <v>11.68098</v>
      </c>
      <c r="D1308" s="409" t="s">
        <v>7218</v>
      </c>
      <c r="E1308" s="409" t="s">
        <v>7219</v>
      </c>
      <c r="F1308" s="409" t="s">
        <v>7220</v>
      </c>
      <c r="G1308" s="409" t="s">
        <v>7221</v>
      </c>
      <c r="H1308" s="465">
        <v>487.375</v>
      </c>
      <c r="I1308" s="465">
        <v>11.68098</v>
      </c>
      <c r="J1308" s="465">
        <v>64.414240000000007</v>
      </c>
      <c r="K1308" s="465">
        <v>9810.3870900000002</v>
      </c>
      <c r="L1308" s="464" t="s">
        <v>539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IC-spodná krycia lišta 10mm 3m šampáň</v>
      </c>
      <c r="C1309" s="185">
        <f t="shared" si="41"/>
        <v>17.197929999999999</v>
      </c>
      <c r="D1309" s="409" t="s">
        <v>7222</v>
      </c>
      <c r="E1309" s="409" t="s">
        <v>7223</v>
      </c>
      <c r="F1309" s="409" t="s">
        <v>7224</v>
      </c>
      <c r="G1309" s="409" t="s">
        <v>7225</v>
      </c>
      <c r="H1309" s="465">
        <v>718.375</v>
      </c>
      <c r="I1309" s="465">
        <v>17.197929999999999</v>
      </c>
      <c r="J1309" s="465">
        <v>94.837280000000007</v>
      </c>
      <c r="K1309" s="465">
        <v>14460.19355</v>
      </c>
      <c r="L1309" s="464" t="s">
        <v>539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IC-spodná krycia lišta 10mm 5m šampáň</v>
      </c>
      <c r="C1310" s="185">
        <f t="shared" si="41"/>
        <v>26.052330000000001</v>
      </c>
      <c r="D1310" s="409" t="s">
        <v>7226</v>
      </c>
      <c r="E1310" s="409" t="s">
        <v>7227</v>
      </c>
      <c r="F1310" s="409" t="s">
        <v>7228</v>
      </c>
      <c r="G1310" s="409" t="s">
        <v>7229</v>
      </c>
      <c r="H1310" s="465">
        <v>1087.625</v>
      </c>
      <c r="I1310" s="465">
        <v>26.052330000000001</v>
      </c>
      <c r="J1310" s="465">
        <v>143.6644</v>
      </c>
      <c r="K1310" s="465">
        <v>21892.83871</v>
      </c>
      <c r="L1310" s="464" t="s">
        <v>539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IC-spojovací H profil 10mm 3m šampáň</v>
      </c>
      <c r="C1311" s="185">
        <f t="shared" si="41"/>
        <v>6.7088999999999999</v>
      </c>
      <c r="D1311" s="409" t="s">
        <v>7230</v>
      </c>
      <c r="E1311" s="409" t="s">
        <v>7231</v>
      </c>
      <c r="F1311" s="409" t="s">
        <v>7230</v>
      </c>
      <c r="G1311" s="409" t="s">
        <v>7232</v>
      </c>
      <c r="H1311" s="465">
        <v>280</v>
      </c>
      <c r="I1311" s="465">
        <v>6.7088999999999999</v>
      </c>
      <c r="J1311" s="465">
        <v>36.995939999999997</v>
      </c>
      <c r="K1311" s="465">
        <v>5636.1290399999998</v>
      </c>
      <c r="L1311" s="464" t="s">
        <v>539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IC-spojovací H profil 10mm 5m šampáň</v>
      </c>
      <c r="C1312" s="185">
        <f t="shared" si="41"/>
        <v>10.182539999999999</v>
      </c>
      <c r="D1312" s="409" t="s">
        <v>7233</v>
      </c>
      <c r="E1312" s="409" t="s">
        <v>7234</v>
      </c>
      <c r="F1312" s="409" t="s">
        <v>7233</v>
      </c>
      <c r="G1312" s="409" t="s">
        <v>7235</v>
      </c>
      <c r="H1312" s="465">
        <v>425.25</v>
      </c>
      <c r="I1312" s="465">
        <v>10.182539999999999</v>
      </c>
      <c r="J1312" s="465">
        <v>56.151179999999997</v>
      </c>
      <c r="K1312" s="465">
        <v>8559.8709600000002</v>
      </c>
      <c r="L1312" s="464" t="s">
        <v>539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9" t="e">
        <v>#N/A</v>
      </c>
      <c r="E1313" s="409" t="e">
        <v>#N/A</v>
      </c>
      <c r="F1313" s="409" t="e">
        <v>#N/A</v>
      </c>
      <c r="G1313" s="409" t="e">
        <v>#N/A</v>
      </c>
      <c r="H1313" s="465" t="e">
        <v>#N/A</v>
      </c>
      <c r="I1313" s="465" t="e">
        <v>#N/A</v>
      </c>
      <c r="J1313" s="465" t="e">
        <v>#N/A</v>
      </c>
      <c r="K1313" s="465" t="e">
        <v>#N/A</v>
      </c>
      <c r="L1313" s="464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S-obojstranný tlmič Slidix Centro T40 S55/S60/S65</v>
      </c>
      <c r="C1314" s="185">
        <f t="shared" si="41"/>
        <v>68.624229999999997</v>
      </c>
      <c r="D1314" s="409" t="s">
        <v>7236</v>
      </c>
      <c r="E1314" s="409" t="s">
        <v>7237</v>
      </c>
      <c r="F1314" s="409" t="s">
        <v>7238</v>
      </c>
      <c r="G1314" s="409" t="s">
        <v>7239</v>
      </c>
      <c r="H1314" s="465">
        <v>1680.2239999999999</v>
      </c>
      <c r="I1314" s="465">
        <v>68.624229999999997</v>
      </c>
      <c r="J1314" s="465">
        <v>310.75572</v>
      </c>
      <c r="K1314" s="465">
        <v>29132.916130000001</v>
      </c>
      <c r="L1314" s="464" t="s">
        <v>537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 S11 svetlý brondz 2,7m</v>
      </c>
      <c r="C1315" s="185">
        <f t="shared" si="41"/>
        <v>0</v>
      </c>
      <c r="D1315" s="409" t="s">
        <v>7240</v>
      </c>
      <c r="E1315" s="409" t="s">
        <v>7241</v>
      </c>
      <c r="F1315" s="409" t="s">
        <v>7242</v>
      </c>
      <c r="G1315" s="409" t="s">
        <v>7243</v>
      </c>
      <c r="H1315" s="465">
        <v>0</v>
      </c>
      <c r="I1315" s="465">
        <v>0</v>
      </c>
      <c r="J1315" s="465">
        <v>0</v>
      </c>
      <c r="K1315" s="465">
        <v>0</v>
      </c>
      <c r="L1315" s="464" t="s">
        <v>540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horný vodiaci profil svetlý bronz 3m</v>
      </c>
      <c r="C1316" s="185">
        <f t="shared" si="41"/>
        <v>0</v>
      </c>
      <c r="D1316" s="409" t="s">
        <v>7244</v>
      </c>
      <c r="E1316" s="409" t="s">
        <v>7245</v>
      </c>
      <c r="F1316" s="409" t="s">
        <v>7246</v>
      </c>
      <c r="G1316" s="409" t="s">
        <v>7247</v>
      </c>
      <c r="H1316" s="465">
        <v>0</v>
      </c>
      <c r="I1316" s="465">
        <v>0</v>
      </c>
      <c r="J1316" s="465">
        <v>0</v>
      </c>
      <c r="K1316" s="465">
        <v>0</v>
      </c>
      <c r="L1316" s="464" t="s">
        <v>540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dolný vodiaci profil 3m svetlý bronz</v>
      </c>
      <c r="C1317" s="185">
        <f t="shared" si="41"/>
        <v>0</v>
      </c>
      <c r="D1317" s="409" t="s">
        <v>7248</v>
      </c>
      <c r="E1317" s="409" t="s">
        <v>7249</v>
      </c>
      <c r="F1317" s="409" t="s">
        <v>7250</v>
      </c>
      <c r="G1317" s="409" t="s">
        <v>7251</v>
      </c>
      <c r="H1317" s="465">
        <v>0</v>
      </c>
      <c r="I1317" s="465">
        <v>0</v>
      </c>
      <c r="J1317" s="465">
        <v>0</v>
      </c>
      <c r="K1317" s="465">
        <v>0</v>
      </c>
      <c r="L1317" s="464" t="s">
        <v>540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horný a stredový profil 3,5m svetlý bronz</v>
      </c>
      <c r="C1318" s="185">
        <f t="shared" si="41"/>
        <v>0</v>
      </c>
      <c r="D1318" s="409" t="s">
        <v>7252</v>
      </c>
      <c r="E1318" s="409" t="s">
        <v>7253</v>
      </c>
      <c r="F1318" s="409" t="s">
        <v>7254</v>
      </c>
      <c r="G1318" s="409" t="s">
        <v>7255</v>
      </c>
      <c r="H1318" s="465">
        <v>0</v>
      </c>
      <c r="I1318" s="465">
        <v>0</v>
      </c>
      <c r="J1318" s="465">
        <v>0</v>
      </c>
      <c r="K1318" s="465">
        <v>0</v>
      </c>
      <c r="L1318" s="464" t="s">
        <v>540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dolný profil 4/18mm 3,5m svetlý bronz</v>
      </c>
      <c r="C1319" s="185">
        <f t="shared" si="41"/>
        <v>0</v>
      </c>
      <c r="D1319" s="409" t="s">
        <v>7256</v>
      </c>
      <c r="E1319" s="409" t="s">
        <v>7257</v>
      </c>
      <c r="F1319" s="409" t="s">
        <v>7258</v>
      </c>
      <c r="G1319" s="409" t="s">
        <v>7259</v>
      </c>
      <c r="H1319" s="465">
        <v>0</v>
      </c>
      <c r="I1319" s="465">
        <v>0</v>
      </c>
      <c r="J1319" s="465">
        <v>0</v>
      </c>
      <c r="K1319" s="465">
        <v>0</v>
      </c>
      <c r="L1319" s="464" t="s">
        <v>540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krycí profil maska 3m svetlý bronz</v>
      </c>
      <c r="C1320" s="185">
        <f t="shared" si="41"/>
        <v>0</v>
      </c>
      <c r="D1320" s="409" t="s">
        <v>7260</v>
      </c>
      <c r="E1320" s="409" t="s">
        <v>7261</v>
      </c>
      <c r="F1320" s="409" t="s">
        <v>7262</v>
      </c>
      <c r="G1320" s="409" t="s">
        <v>7263</v>
      </c>
      <c r="H1320" s="465">
        <v>0</v>
      </c>
      <c r="I1320" s="465">
        <v>0</v>
      </c>
      <c r="J1320" s="465">
        <v>0</v>
      </c>
      <c r="K1320" s="465">
        <v>0</v>
      </c>
      <c r="L1320" s="464" t="s">
        <v>540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S-S45-horný vodiaci profil 3m strieborný</v>
      </c>
      <c r="C1321" s="185">
        <f t="shared" si="41"/>
        <v>0</v>
      </c>
      <c r="D1321" s="409" t="s">
        <v>7264</v>
      </c>
      <c r="E1321" s="409" t="s">
        <v>7265</v>
      </c>
      <c r="F1321" s="409" t="s">
        <v>7266</v>
      </c>
      <c r="G1321" s="409" t="s">
        <v>7267</v>
      </c>
      <c r="H1321" s="465">
        <v>0</v>
      </c>
      <c r="I1321" s="465">
        <v>0</v>
      </c>
      <c r="J1321" s="465">
        <v>0</v>
      </c>
      <c r="K1321" s="465">
        <v>0</v>
      </c>
      <c r="L1321" s="464" t="s">
        <v>540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 S30/45 spodný elox 3m</v>
      </c>
      <c r="C1322" s="185">
        <f t="shared" si="41"/>
        <v>18.924330000000001</v>
      </c>
      <c r="D1322" s="409" t="s">
        <v>7268</v>
      </c>
      <c r="E1322" s="409" t="s">
        <v>7269</v>
      </c>
      <c r="F1322" s="409" t="s">
        <v>7270</v>
      </c>
      <c r="G1322" s="409" t="s">
        <v>7271</v>
      </c>
      <c r="H1322" s="465">
        <v>463.35120000000001</v>
      </c>
      <c r="I1322" s="465">
        <v>18.924330000000001</v>
      </c>
      <c r="J1322" s="465">
        <v>85.979609999999994</v>
      </c>
      <c r="K1322" s="465">
        <v>8033.91194</v>
      </c>
      <c r="L1322" s="464" t="s">
        <v>537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horné vedenie 2m (dodat 85355)</v>
      </c>
      <c r="C1323" s="185">
        <f t="shared" si="41"/>
        <v>0</v>
      </c>
      <c r="D1323" s="409" t="s">
        <v>7272</v>
      </c>
      <c r="E1323" s="409" t="s">
        <v>7273</v>
      </c>
      <c r="F1323" s="409" t="s">
        <v>7274</v>
      </c>
      <c r="G1323" s="409" t="s">
        <v>7275</v>
      </c>
      <c r="H1323" s="465">
        <v>0</v>
      </c>
      <c r="I1323" s="465">
        <v>0</v>
      </c>
      <c r="J1323" s="465">
        <v>0</v>
      </c>
      <c r="K1323" s="465">
        <v>0</v>
      </c>
      <c r="L1323" s="464" t="s">
        <v>540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horné vedenie 3m (dodat 85355)</v>
      </c>
      <c r="C1324" s="185">
        <f t="shared" si="41"/>
        <v>0</v>
      </c>
      <c r="D1324" s="409" t="s">
        <v>7276</v>
      </c>
      <c r="E1324" s="409" t="s">
        <v>7277</v>
      </c>
      <c r="F1324" s="409" t="s">
        <v>7278</v>
      </c>
      <c r="G1324" s="409" t="s">
        <v>7279</v>
      </c>
      <c r="H1324" s="465">
        <v>0</v>
      </c>
      <c r="I1324" s="465">
        <v>0</v>
      </c>
      <c r="J1324" s="465">
        <v>0</v>
      </c>
      <c r="K1324" s="465">
        <v>0</v>
      </c>
      <c r="L1324" s="464" t="s">
        <v>540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dolná lišta alu surová 2m</v>
      </c>
      <c r="C1325" s="185">
        <f t="shared" si="41"/>
        <v>0</v>
      </c>
      <c r="D1325" s="409" t="s">
        <v>7280</v>
      </c>
      <c r="E1325" s="409" t="s">
        <v>7281</v>
      </c>
      <c r="F1325" s="409" t="s">
        <v>7282</v>
      </c>
      <c r="G1325" s="409" t="s">
        <v>7283</v>
      </c>
      <c r="H1325" s="465">
        <v>0</v>
      </c>
      <c r="I1325" s="465">
        <v>0</v>
      </c>
      <c r="J1325" s="465">
        <v>0</v>
      </c>
      <c r="K1325" s="465">
        <v>0</v>
      </c>
      <c r="L1325" s="464" t="s">
        <v>540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dolná lišta alu surová 2,5m</v>
      </c>
      <c r="C1326" s="185">
        <f t="shared" si="41"/>
        <v>0</v>
      </c>
      <c r="D1326" s="409" t="s">
        <v>7284</v>
      </c>
      <c r="E1326" s="409" t="s">
        <v>7285</v>
      </c>
      <c r="F1326" s="409" t="s">
        <v>7286</v>
      </c>
      <c r="G1326" s="409" t="s">
        <v>7287</v>
      </c>
      <c r="H1326" s="465">
        <v>0</v>
      </c>
      <c r="I1326" s="465">
        <v>0</v>
      </c>
      <c r="J1326" s="465">
        <v>0</v>
      </c>
      <c r="K1326" s="465">
        <v>0</v>
      </c>
      <c r="L1326" s="464" t="s">
        <v>540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dolná lišta alu surová 3m</v>
      </c>
      <c r="C1327" s="185">
        <f t="shared" si="41"/>
        <v>0</v>
      </c>
      <c r="D1327" s="409" t="s">
        <v>7288</v>
      </c>
      <c r="E1327" s="409" t="s">
        <v>7289</v>
      </c>
      <c r="F1327" s="409" t="s">
        <v>7290</v>
      </c>
      <c r="G1327" s="409" t="s">
        <v>7291</v>
      </c>
      <c r="H1327" s="465">
        <v>0</v>
      </c>
      <c r="I1327" s="465">
        <v>0</v>
      </c>
      <c r="J1327" s="465">
        <v>0</v>
      </c>
      <c r="K1327" s="465">
        <v>0</v>
      </c>
      <c r="L1327" s="464" t="s">
        <v>540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sada kovania - ľavá</v>
      </c>
      <c r="C1328" s="185">
        <f t="shared" si="41"/>
        <v>54.054969999999997</v>
      </c>
      <c r="D1328" s="409" t="s">
        <v>7292</v>
      </c>
      <c r="E1328" s="409" t="s">
        <v>7293</v>
      </c>
      <c r="F1328" s="409" t="s">
        <v>7294</v>
      </c>
      <c r="G1328" s="409" t="s">
        <v>7295</v>
      </c>
      <c r="H1328" s="465">
        <v>1323.5039999999999</v>
      </c>
      <c r="I1328" s="465">
        <v>54.054969999999997</v>
      </c>
      <c r="J1328" s="465">
        <v>244.78071</v>
      </c>
      <c r="K1328" s="465">
        <v>22947.851620000001</v>
      </c>
      <c r="L1328" s="464" t="s">
        <v>537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sada kovania - pravá</v>
      </c>
      <c r="C1329" s="185">
        <f t="shared" si="41"/>
        <v>54.054969999999997</v>
      </c>
      <c r="D1329" s="409" t="s">
        <v>7296</v>
      </c>
      <c r="E1329" s="409" t="s">
        <v>7297</v>
      </c>
      <c r="F1329" s="409" t="s">
        <v>7298</v>
      </c>
      <c r="G1329" s="409" t="s">
        <v>7299</v>
      </c>
      <c r="H1329" s="465">
        <v>1323.5039999999999</v>
      </c>
      <c r="I1329" s="465">
        <v>54.054969999999997</v>
      </c>
      <c r="J1329" s="465">
        <v>244.78071</v>
      </c>
      <c r="K1329" s="465">
        <v>22947.851620000001</v>
      </c>
      <c r="L1329" s="464" t="s">
        <v>537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dolná lišta alu surová 5m</v>
      </c>
      <c r="C1330" s="185">
        <f t="shared" si="41"/>
        <v>0</v>
      </c>
      <c r="D1330" s="409" t="s">
        <v>7300</v>
      </c>
      <c r="E1330" s="409" t="s">
        <v>7301</v>
      </c>
      <c r="F1330" s="409" t="s">
        <v>7302</v>
      </c>
      <c r="G1330" s="409" t="s">
        <v>7303</v>
      </c>
      <c r="H1330" s="465">
        <v>0</v>
      </c>
      <c r="I1330" s="465">
        <v>0</v>
      </c>
      <c r="J1330" s="465">
        <v>0</v>
      </c>
      <c r="K1330" s="465">
        <v>0</v>
      </c>
      <c r="L1330" s="464" t="s">
        <v>540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S-S20/30 brzda plastová</v>
      </c>
      <c r="C1331" s="185">
        <f t="shared" si="41"/>
        <v>0.47572999999999999</v>
      </c>
      <c r="D1331" s="409" t="s">
        <v>7304</v>
      </c>
      <c r="E1331" s="409" t="s">
        <v>7305</v>
      </c>
      <c r="F1331" s="409" t="s">
        <v>7304</v>
      </c>
      <c r="G1331" s="409" t="s">
        <v>7306</v>
      </c>
      <c r="H1331" s="465">
        <v>11.648</v>
      </c>
      <c r="I1331" s="465">
        <v>0.47572999999999999</v>
      </c>
      <c r="J1331" s="465">
        <v>2.1568000000000001</v>
      </c>
      <c r="K1331" s="465">
        <v>207.83087</v>
      </c>
      <c r="L1331" s="464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HH-H50 BRZDA - PRAVÁ</v>
      </c>
      <c r="C1332" s="185">
        <f t="shared" si="41"/>
        <v>0</v>
      </c>
      <c r="D1332" s="409" t="s">
        <v>7307</v>
      </c>
      <c r="E1332" s="409" t="s">
        <v>7308</v>
      </c>
      <c r="F1332" s="409" t="s">
        <v>7309</v>
      </c>
      <c r="G1332" s="409" t="s">
        <v>7310</v>
      </c>
      <c r="H1332" s="465">
        <v>0</v>
      </c>
      <c r="I1332" s="465">
        <v>0</v>
      </c>
      <c r="J1332" s="465">
        <v>0</v>
      </c>
      <c r="K1332" s="465">
        <v>0</v>
      </c>
      <c r="L1332" s="464" t="s">
        <v>540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doraz</v>
      </c>
      <c r="C1333" s="185">
        <f t="shared" si="41"/>
        <v>0</v>
      </c>
      <c r="D1333" s="409" t="s">
        <v>7311</v>
      </c>
      <c r="E1333" s="409" t="s">
        <v>7312</v>
      </c>
      <c r="F1333" s="409" t="s">
        <v>7311</v>
      </c>
      <c r="G1333" s="409" t="s">
        <v>7313</v>
      </c>
      <c r="H1333" s="465">
        <v>0</v>
      </c>
      <c r="I1333" s="465">
        <v>0</v>
      </c>
      <c r="J1333" s="465">
        <v>0</v>
      </c>
      <c r="K1333" s="465">
        <v>0</v>
      </c>
      <c r="L1333" s="464" t="s">
        <v>540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úchyt.lišta 2,7m</v>
      </c>
      <c r="C1334" s="185">
        <f t="shared" si="41"/>
        <v>0</v>
      </c>
      <c r="D1334" s="409" t="s">
        <v>7314</v>
      </c>
      <c r="E1334" s="409" t="s">
        <v>7315</v>
      </c>
      <c r="F1334" s="409" t="s">
        <v>7316</v>
      </c>
      <c r="G1334" s="409" t="s">
        <v>7317</v>
      </c>
      <c r="H1334" s="465">
        <v>0</v>
      </c>
      <c r="I1334" s="465">
        <v>0</v>
      </c>
      <c r="J1334" s="465">
        <v>0</v>
      </c>
      <c r="K1334" s="465">
        <v>0</v>
      </c>
      <c r="L1334" s="464" t="s">
        <v>540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/>
      </c>
      <c r="C1335" s="185">
        <f t="shared" si="41"/>
        <v>0</v>
      </c>
      <c r="D1335" s="409" t="s">
        <v>1364</v>
      </c>
      <c r="E1335" s="409" t="s">
        <v>1814</v>
      </c>
      <c r="F1335" s="409" t="s">
        <v>68</v>
      </c>
      <c r="G1335" s="409" t="s">
        <v>5834</v>
      </c>
      <c r="H1335" s="465">
        <v>0.28789999999999999</v>
      </c>
      <c r="I1335" s="465">
        <v>0</v>
      </c>
      <c r="J1335" s="465">
        <v>5.6100000000000004E-3</v>
      </c>
      <c r="K1335" s="465">
        <v>0</v>
      </c>
      <c r="L1335" s="464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/>
      </c>
      <c r="C1336" s="185">
        <f t="shared" si="41"/>
        <v>8.7144200000000005</v>
      </c>
      <c r="D1336" s="409" t="s">
        <v>1365</v>
      </c>
      <c r="E1336" s="409" t="s">
        <v>1814</v>
      </c>
      <c r="F1336" s="409" t="s">
        <v>68</v>
      </c>
      <c r="G1336" s="409" t="s">
        <v>5835</v>
      </c>
      <c r="H1336" s="465">
        <v>0</v>
      </c>
      <c r="I1336" s="465">
        <v>8.7144200000000005</v>
      </c>
      <c r="J1336" s="465">
        <v>5.6100000000000004E-3</v>
      </c>
      <c r="K1336" s="465">
        <v>3737.4312599999998</v>
      </c>
      <c r="L1336" s="464" t="s">
        <v>541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9" t="e">
        <v>#N/A</v>
      </c>
      <c r="E1337" s="409" t="e">
        <v>#N/A</v>
      </c>
      <c r="F1337" s="409" t="e">
        <v>#N/A</v>
      </c>
      <c r="G1337" s="409" t="e">
        <v>#N/A</v>
      </c>
      <c r="H1337" s="465" t="e">
        <v>#N/A</v>
      </c>
      <c r="I1337" s="465" t="e">
        <v>#N/A</v>
      </c>
      <c r="J1337" s="465" t="e">
        <v>#N/A</v>
      </c>
      <c r="K1337" s="465" t="e">
        <v>#N/A</v>
      </c>
      <c r="L1337" s="464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9" t="e">
        <v>#N/A</v>
      </c>
      <c r="E1338" s="409" t="e">
        <v>#N/A</v>
      </c>
      <c r="F1338" s="409" t="e">
        <v>#N/A</v>
      </c>
      <c r="G1338" s="409" t="e">
        <v>#N/A</v>
      </c>
      <c r="H1338" s="465" t="e">
        <v>#N/A</v>
      </c>
      <c r="I1338" s="465" t="e">
        <v>#N/A</v>
      </c>
      <c r="J1338" s="465" t="e">
        <v>#N/A</v>
      </c>
      <c r="K1338" s="465" t="e">
        <v>#N/A</v>
      </c>
      <c r="L1338" s="464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maska Elegant II 3m čierna mat</v>
      </c>
      <c r="C1339" s="185">
        <f t="shared" si="41"/>
        <v>5.8811099999999996</v>
      </c>
      <c r="D1339" s="409" t="s">
        <v>1366</v>
      </c>
      <c r="E1339" s="409" t="s">
        <v>1815</v>
      </c>
      <c r="F1339" s="409" t="s">
        <v>5836</v>
      </c>
      <c r="G1339" s="409" t="s">
        <v>5837</v>
      </c>
      <c r="H1339" s="465">
        <v>163.56704999999999</v>
      </c>
      <c r="I1339" s="465">
        <v>5.8811099999999996</v>
      </c>
      <c r="J1339" s="465">
        <v>21.542400000000001</v>
      </c>
      <c r="K1339" s="465">
        <v>2343.9929499999998</v>
      </c>
      <c r="L1339" s="464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9" t="e">
        <v>#N/A</v>
      </c>
      <c r="E1340" s="409" t="e">
        <v>#N/A</v>
      </c>
      <c r="F1340" s="409" t="e">
        <v>#N/A</v>
      </c>
      <c r="G1340" s="409" t="e">
        <v>#N/A</v>
      </c>
      <c r="H1340" s="465" t="e">
        <v>#N/A</v>
      </c>
      <c r="I1340" s="465" t="e">
        <v>#N/A</v>
      </c>
      <c r="J1340" s="465" t="e">
        <v>#N/A</v>
      </c>
      <c r="K1340" s="465" t="e">
        <v>#N/A</v>
      </c>
      <c r="L1340" s="464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9" t="e">
        <v>#N/A</v>
      </c>
      <c r="E1341" s="409" t="e">
        <v>#N/A</v>
      </c>
      <c r="F1341" s="409" t="e">
        <v>#N/A</v>
      </c>
      <c r="G1341" s="409" t="e">
        <v>#N/A</v>
      </c>
      <c r="H1341" s="465" t="e">
        <v>#N/A</v>
      </c>
      <c r="I1341" s="465" t="e">
        <v>#N/A</v>
      </c>
      <c r="J1341" s="465" t="e">
        <v>#N/A</v>
      </c>
      <c r="K1341" s="465" t="e">
        <v>#N/A</v>
      </c>
      <c r="L1341" s="464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9" t="e">
        <v>#N/A</v>
      </c>
      <c r="E1342" s="409" t="e">
        <v>#N/A</v>
      </c>
      <c r="F1342" s="409" t="e">
        <v>#N/A</v>
      </c>
      <c r="G1342" s="409" t="e">
        <v>#N/A</v>
      </c>
      <c r="H1342" s="465" t="e">
        <v>#N/A</v>
      </c>
      <c r="I1342" s="465" t="e">
        <v>#N/A</v>
      </c>
      <c r="J1342" s="465" t="e">
        <v>#N/A</v>
      </c>
      <c r="K1342" s="465" t="e">
        <v>#N/A</v>
      </c>
      <c r="L1342" s="464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9" t="e">
        <v>#N/A</v>
      </c>
      <c r="E1343" s="409" t="e">
        <v>#N/A</v>
      </c>
      <c r="F1343" s="409" t="e">
        <v>#N/A</v>
      </c>
      <c r="G1343" s="409" t="e">
        <v>#N/A</v>
      </c>
      <c r="H1343" s="465" t="e">
        <v>#N/A</v>
      </c>
      <c r="I1343" s="465" t="e">
        <v>#N/A</v>
      </c>
      <c r="J1343" s="465" t="e">
        <v>#N/A</v>
      </c>
      <c r="K1343" s="465" t="e">
        <v>#N/A</v>
      </c>
      <c r="L1343" s="464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9" t="e">
        <v>#N/A</v>
      </c>
      <c r="E1344" s="409" t="e">
        <v>#N/A</v>
      </c>
      <c r="F1344" s="409" t="e">
        <v>#N/A</v>
      </c>
      <c r="G1344" s="409" t="e">
        <v>#N/A</v>
      </c>
      <c r="H1344" s="465" t="e">
        <v>#N/A</v>
      </c>
      <c r="I1344" s="465" t="e">
        <v>#N/A</v>
      </c>
      <c r="J1344" s="465" t="e">
        <v>#N/A</v>
      </c>
      <c r="K1344" s="465" t="e">
        <v>#N/A</v>
      </c>
      <c r="L1344" s="464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spodný profil 4m elox str.</v>
      </c>
      <c r="C1345" s="185">
        <f t="shared" si="41"/>
        <v>35.441969999999998</v>
      </c>
      <c r="D1345" s="409" t="s">
        <v>7318</v>
      </c>
      <c r="E1345" s="409" t="s">
        <v>7319</v>
      </c>
      <c r="F1345" s="409" t="s">
        <v>7320</v>
      </c>
      <c r="G1345" s="409" t="s">
        <v>7321</v>
      </c>
      <c r="H1345" s="465">
        <v>867.77599999999995</v>
      </c>
      <c r="I1345" s="465">
        <v>35.441969999999998</v>
      </c>
      <c r="J1345" s="465">
        <v>160.49428</v>
      </c>
      <c r="K1345" s="465">
        <v>14371.68455</v>
      </c>
      <c r="L1345" s="464" t="s">
        <v>540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krycí profil 4m strieborný</v>
      </c>
      <c r="C1346" s="185">
        <f t="shared" si="41"/>
        <v>8.5631699999999995</v>
      </c>
      <c r="D1346" s="409" t="s">
        <v>7322</v>
      </c>
      <c r="E1346" s="409" t="s">
        <v>7323</v>
      </c>
      <c r="F1346" s="409" t="s">
        <v>7324</v>
      </c>
      <c r="G1346" s="409" t="s">
        <v>7325</v>
      </c>
      <c r="H1346" s="465">
        <v>209.66399999999999</v>
      </c>
      <c r="I1346" s="465">
        <v>8.5631699999999995</v>
      </c>
      <c r="J1346" s="465">
        <v>38.77713</v>
      </c>
      <c r="K1346" s="465">
        <v>3472.3533200000002</v>
      </c>
      <c r="L1346" s="464" t="s">
        <v>540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S-S05-horný vodiaci profil 6m strieborný</v>
      </c>
      <c r="C1347" s="185">
        <f t="shared" si="41"/>
        <v>0</v>
      </c>
      <c r="D1347" s="409" t="s">
        <v>7326</v>
      </c>
      <c r="E1347" s="409" t="s">
        <v>7327</v>
      </c>
      <c r="F1347" s="409" t="s">
        <v>7328</v>
      </c>
      <c r="G1347" s="409" t="s">
        <v>7329</v>
      </c>
      <c r="H1347" s="465">
        <v>0</v>
      </c>
      <c r="I1347" s="465">
        <v>0</v>
      </c>
      <c r="J1347" s="465">
        <v>0</v>
      </c>
      <c r="K1347" s="465">
        <v>0</v>
      </c>
      <c r="L1347" s="464" t="s">
        <v>540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 S11 str.elox 3,2m</v>
      </c>
      <c r="C1348" s="185">
        <f t="shared" ref="C1348:C1411" si="43">IF($A$2=1,H1348,IF($A$2=2,I1348,IF($A$2=3,J1348,IF($A$2=4,K1348,IF($A$2&gt;4,O1348,"zadat jazyk")))))</f>
        <v>0</v>
      </c>
      <c r="D1348" s="409" t="s">
        <v>7330</v>
      </c>
      <c r="E1348" s="409" t="s">
        <v>7331</v>
      </c>
      <c r="F1348" s="409" t="s">
        <v>7332</v>
      </c>
      <c r="G1348" s="409" t="s">
        <v>7333</v>
      </c>
      <c r="H1348" s="465">
        <v>0</v>
      </c>
      <c r="I1348" s="465">
        <v>0</v>
      </c>
      <c r="J1348" s="465">
        <v>0</v>
      </c>
      <c r="K1348" s="465">
        <v>0</v>
      </c>
      <c r="L1348" s="464" t="s">
        <v>540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spodný profil 6m strieborný</v>
      </c>
      <c r="C1349" s="185">
        <f t="shared" si="43"/>
        <v>0</v>
      </c>
      <c r="D1349" s="409" t="s">
        <v>7334</v>
      </c>
      <c r="E1349" s="409" t="s">
        <v>7335</v>
      </c>
      <c r="F1349" s="409" t="s">
        <v>7336</v>
      </c>
      <c r="G1349" s="409" t="s">
        <v>7337</v>
      </c>
      <c r="H1349" s="465">
        <v>0</v>
      </c>
      <c r="I1349" s="465">
        <v>0</v>
      </c>
      <c r="J1349" s="465">
        <v>0</v>
      </c>
      <c r="K1349" s="465">
        <v>0</v>
      </c>
      <c r="L1349" s="464" t="s">
        <v>540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krycí profil 6m strieborný</v>
      </c>
      <c r="C1350" s="185">
        <f t="shared" si="43"/>
        <v>0</v>
      </c>
      <c r="D1350" s="409" t="s">
        <v>7338</v>
      </c>
      <c r="E1350" s="409" t="s">
        <v>7339</v>
      </c>
      <c r="F1350" s="409" t="s">
        <v>7340</v>
      </c>
      <c r="G1350" s="409" t="s">
        <v>7341</v>
      </c>
      <c r="H1350" s="465">
        <v>0</v>
      </c>
      <c r="I1350" s="465">
        <v>0</v>
      </c>
      <c r="J1350" s="465">
        <v>0</v>
      </c>
      <c r="K1350" s="465">
        <v>0</v>
      </c>
      <c r="L1350" s="464" t="s">
        <v>540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horný a stredný profil 4/18mm 4m</v>
      </c>
      <c r="C1351" s="185">
        <f t="shared" si="43"/>
        <v>43.291539999999998</v>
      </c>
      <c r="D1351" s="409" t="s">
        <v>7342</v>
      </c>
      <c r="E1351" s="409" t="s">
        <v>7343</v>
      </c>
      <c r="F1351" s="409" t="s">
        <v>7344</v>
      </c>
      <c r="G1351" s="409" t="s">
        <v>7345</v>
      </c>
      <c r="H1351" s="465">
        <v>1059.9680000000001</v>
      </c>
      <c r="I1351" s="465">
        <v>43.291539999999998</v>
      </c>
      <c r="J1351" s="465">
        <v>196.03998999999999</v>
      </c>
      <c r="K1351" s="465">
        <v>18378.47741</v>
      </c>
      <c r="L1351" s="464" t="s">
        <v>537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dolný profil 4/18mm 4m strieborný</v>
      </c>
      <c r="C1352" s="185">
        <f t="shared" si="43"/>
        <v>65.650909999999996</v>
      </c>
      <c r="D1352" s="409" t="s">
        <v>7346</v>
      </c>
      <c r="E1352" s="409" t="s">
        <v>7347</v>
      </c>
      <c r="F1352" s="409" t="s">
        <v>7348</v>
      </c>
      <c r="G1352" s="409" t="s">
        <v>7349</v>
      </c>
      <c r="H1352" s="465">
        <v>1607.424</v>
      </c>
      <c r="I1352" s="465">
        <v>65.650909999999996</v>
      </c>
      <c r="J1352" s="465">
        <v>297.29142000000002</v>
      </c>
      <c r="K1352" s="465">
        <v>27870.658060000002</v>
      </c>
      <c r="L1352" s="464" t="s">
        <v>537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9" t="e">
        <v>#N/A</v>
      </c>
      <c r="E1353" s="409" t="e">
        <v>#N/A</v>
      </c>
      <c r="F1353" s="409" t="e">
        <v>#N/A</v>
      </c>
      <c r="G1353" s="409" t="e">
        <v>#N/A</v>
      </c>
      <c r="H1353" s="465" t="e">
        <v>#N/A</v>
      </c>
      <c r="I1353" s="465" t="e">
        <v>#N/A</v>
      </c>
      <c r="J1353" s="465" t="e">
        <v>#N/A</v>
      </c>
      <c r="K1353" s="465" t="e">
        <v>#N/A</v>
      </c>
      <c r="L1353" s="464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9" t="e">
        <v>#N/A</v>
      </c>
      <c r="E1354" s="409" t="e">
        <v>#N/A</v>
      </c>
      <c r="F1354" s="409" t="e">
        <v>#N/A</v>
      </c>
      <c r="G1354" s="409" t="e">
        <v>#N/A</v>
      </c>
      <c r="H1354" s="465" t="e">
        <v>#N/A</v>
      </c>
      <c r="I1354" s="465" t="e">
        <v>#N/A</v>
      </c>
      <c r="J1354" s="465" t="e">
        <v>#N/A</v>
      </c>
      <c r="K1354" s="465" t="e">
        <v>#N/A</v>
      </c>
      <c r="L1354" s="464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9" t="e">
        <v>#N/A</v>
      </c>
      <c r="E1355" s="409" t="e">
        <v>#N/A</v>
      </c>
      <c r="F1355" s="409" t="e">
        <v>#N/A</v>
      </c>
      <c r="G1355" s="409" t="e">
        <v>#N/A</v>
      </c>
      <c r="H1355" s="465" t="e">
        <v>#N/A</v>
      </c>
      <c r="I1355" s="465" t="e">
        <v>#N/A</v>
      </c>
      <c r="J1355" s="465" t="e">
        <v>#N/A</v>
      </c>
      <c r="K1355" s="465" t="e">
        <v>#N/A</v>
      </c>
      <c r="L1355" s="464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9" t="e">
        <v>#N/A</v>
      </c>
      <c r="E1356" s="409" t="e">
        <v>#N/A</v>
      </c>
      <c r="F1356" s="409" t="e">
        <v>#N/A</v>
      </c>
      <c r="G1356" s="409" t="e">
        <v>#N/A</v>
      </c>
      <c r="H1356" s="465" t="e">
        <v>#N/A</v>
      </c>
      <c r="I1356" s="465" t="e">
        <v>#N/A</v>
      </c>
      <c r="J1356" s="465" t="e">
        <v>#N/A</v>
      </c>
      <c r="K1356" s="465" t="e">
        <v>#N/A</v>
      </c>
      <c r="L1356" s="464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9" t="e">
        <v>#N/A</v>
      </c>
      <c r="E1357" s="409" t="e">
        <v>#N/A</v>
      </c>
      <c r="F1357" s="409" t="e">
        <v>#N/A</v>
      </c>
      <c r="G1357" s="409" t="e">
        <v>#N/A</v>
      </c>
      <c r="H1357" s="465" t="e">
        <v>#N/A</v>
      </c>
      <c r="I1357" s="465" t="e">
        <v>#N/A</v>
      </c>
      <c r="J1357" s="465" t="e">
        <v>#N/A</v>
      </c>
      <c r="K1357" s="465" t="e">
        <v>#N/A</v>
      </c>
      <c r="L1357" s="464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S-S05-1-horný vod.profil jednod. 2m str.</v>
      </c>
      <c r="C1358" s="185">
        <f t="shared" si="43"/>
        <v>16.650590000000001</v>
      </c>
      <c r="D1358" s="409" t="s">
        <v>7350</v>
      </c>
      <c r="E1358" s="409" t="s">
        <v>7351</v>
      </c>
      <c r="F1358" s="409" t="s">
        <v>7352</v>
      </c>
      <c r="G1358" s="409" t="s">
        <v>7353</v>
      </c>
      <c r="H1358" s="465">
        <v>407.68</v>
      </c>
      <c r="I1358" s="465">
        <v>16.650590000000001</v>
      </c>
      <c r="J1358" s="465">
        <v>75.400009999999995</v>
      </c>
      <c r="K1358" s="465">
        <v>7068.6451699999998</v>
      </c>
      <c r="L1358" s="464" t="s">
        <v>537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spodný profil jedn.2m elox str.</v>
      </c>
      <c r="C1359" s="185">
        <f t="shared" si="43"/>
        <v>6.6602399999999999</v>
      </c>
      <c r="D1359" s="409" t="s">
        <v>7354</v>
      </c>
      <c r="E1359" s="409" t="s">
        <v>7355</v>
      </c>
      <c r="F1359" s="409" t="s">
        <v>7356</v>
      </c>
      <c r="G1359" s="409" t="s">
        <v>7357</v>
      </c>
      <c r="H1359" s="465">
        <v>163.072</v>
      </c>
      <c r="I1359" s="465">
        <v>6.6602399999999999</v>
      </c>
      <c r="J1359" s="465">
        <v>30.16001</v>
      </c>
      <c r="K1359" s="465">
        <v>2827.4580599999999</v>
      </c>
      <c r="L1359" s="464" t="s">
        <v>537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9" t="e">
        <v>#N/A</v>
      </c>
      <c r="E1360" s="409" t="e">
        <v>#N/A</v>
      </c>
      <c r="F1360" s="409" t="e">
        <v>#N/A</v>
      </c>
      <c r="G1360" s="409" t="e">
        <v>#N/A</v>
      </c>
      <c r="H1360" s="465" t="e">
        <v>#N/A</v>
      </c>
      <c r="I1360" s="465" t="e">
        <v>#N/A</v>
      </c>
      <c r="J1360" s="465" t="e">
        <v>#N/A</v>
      </c>
      <c r="K1360" s="465" t="e">
        <v>#N/A</v>
      </c>
      <c r="L1360" s="464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9" t="e">
        <v>#N/A</v>
      </c>
      <c r="E1361" s="409" t="e">
        <v>#N/A</v>
      </c>
      <c r="F1361" s="409" t="e">
        <v>#N/A</v>
      </c>
      <c r="G1361" s="409" t="e">
        <v>#N/A</v>
      </c>
      <c r="H1361" s="465" t="e">
        <v>#N/A</v>
      </c>
      <c r="I1361" s="465" t="e">
        <v>#N/A</v>
      </c>
      <c r="J1361" s="465" t="e">
        <v>#N/A</v>
      </c>
      <c r="K1361" s="465" t="e">
        <v>#N/A</v>
      </c>
      <c r="L1361" s="464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lišta zvislá Standard bronzové 2,75m</v>
      </c>
      <c r="C1362" s="185">
        <f t="shared" si="43"/>
        <v>3.68479</v>
      </c>
      <c r="D1362" s="409" t="s">
        <v>7358</v>
      </c>
      <c r="E1362" s="409" t="s">
        <v>7359</v>
      </c>
      <c r="F1362" s="409" t="s">
        <v>7360</v>
      </c>
      <c r="G1362" s="409" t="s">
        <v>7361</v>
      </c>
      <c r="H1362" s="465">
        <v>94.674999999999997</v>
      </c>
      <c r="I1362" s="465">
        <v>3.68479</v>
      </c>
      <c r="J1362" s="465">
        <v>20.319600000000001</v>
      </c>
      <c r="K1362" s="465">
        <v>0</v>
      </c>
      <c r="L1362" s="464" t="s">
        <v>537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IC-horné vedenie bronzové 2m</v>
      </c>
      <c r="C1363" s="185">
        <f t="shared" si="43"/>
        <v>13.56765</v>
      </c>
      <c r="D1363" s="409" t="s">
        <v>7362</v>
      </c>
      <c r="E1363" s="409" t="s">
        <v>7363</v>
      </c>
      <c r="F1363" s="409" t="s">
        <v>7364</v>
      </c>
      <c r="G1363" s="409" t="s">
        <v>7365</v>
      </c>
      <c r="H1363" s="465">
        <v>348.6</v>
      </c>
      <c r="I1363" s="465">
        <v>13.56765</v>
      </c>
      <c r="J1363" s="465">
        <v>74.818179999999998</v>
      </c>
      <c r="K1363" s="465">
        <v>0</v>
      </c>
      <c r="L1363" s="464" t="s">
        <v>537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IC-spodné vedenie bronzové 2m</v>
      </c>
      <c r="C1364" s="185">
        <f t="shared" si="43"/>
        <v>6.1463099999999997</v>
      </c>
      <c r="D1364" s="409" t="s">
        <v>7366</v>
      </c>
      <c r="E1364" s="409" t="s">
        <v>7367</v>
      </c>
      <c r="F1364" s="409" t="s">
        <v>7368</v>
      </c>
      <c r="G1364" s="409" t="s">
        <v>7369</v>
      </c>
      <c r="H1364" s="465">
        <v>157.91999999999999</v>
      </c>
      <c r="I1364" s="465">
        <v>6.1463099999999997</v>
      </c>
      <c r="J1364" s="465">
        <v>33.893540000000002</v>
      </c>
      <c r="K1364" s="465">
        <v>0</v>
      </c>
      <c r="L1364" s="464" t="s">
        <v>537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lišta vodorovná bronzové 2,4m</v>
      </c>
      <c r="C1365" s="185">
        <f t="shared" si="43"/>
        <v>2.8606400000000001</v>
      </c>
      <c r="D1365" s="409" t="s">
        <v>7370</v>
      </c>
      <c r="E1365" s="409" t="s">
        <v>7371</v>
      </c>
      <c r="F1365" s="409" t="s">
        <v>7372</v>
      </c>
      <c r="G1365" s="409" t="s">
        <v>7373</v>
      </c>
      <c r="H1365" s="465">
        <v>73.5</v>
      </c>
      <c r="I1365" s="465">
        <v>2.8606400000000001</v>
      </c>
      <c r="J1365" s="465">
        <v>15.77492</v>
      </c>
      <c r="K1365" s="465">
        <v>0</v>
      </c>
      <c r="L1365" s="464" t="s">
        <v>537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9" t="e">
        <v>#N/A</v>
      </c>
      <c r="E1366" s="409" t="e">
        <v>#N/A</v>
      </c>
      <c r="F1366" s="409" t="e">
        <v>#N/A</v>
      </c>
      <c r="G1366" s="409" t="e">
        <v>#N/A</v>
      </c>
      <c r="H1366" s="465" t="e">
        <v>#N/A</v>
      </c>
      <c r="I1366" s="465" t="e">
        <v>#N/A</v>
      </c>
      <c r="J1366" s="465" t="e">
        <v>#N/A</v>
      </c>
      <c r="K1366" s="465" t="e">
        <v>#N/A</v>
      </c>
      <c r="L1366" s="464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9" t="e">
        <v>#N/A</v>
      </c>
      <c r="E1367" s="409" t="e">
        <v>#N/A</v>
      </c>
      <c r="F1367" s="409" t="e">
        <v>#N/A</v>
      </c>
      <c r="G1367" s="409" t="e">
        <v>#N/A</v>
      </c>
      <c r="H1367" s="465" t="e">
        <v>#N/A</v>
      </c>
      <c r="I1367" s="465" t="e">
        <v>#N/A</v>
      </c>
      <c r="J1367" s="465" t="e">
        <v>#N/A</v>
      </c>
      <c r="K1367" s="465" t="e">
        <v>#N/A</v>
      </c>
      <c r="L1367" s="464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sada Simple čierna mat</v>
      </c>
      <c r="C1368" s="185">
        <f t="shared" si="43"/>
        <v>36.965760000000003</v>
      </c>
      <c r="D1368" s="409" t="s">
        <v>7374</v>
      </c>
      <c r="E1368" s="409" t="s">
        <v>7375</v>
      </c>
      <c r="F1368" s="409" t="s">
        <v>7376</v>
      </c>
      <c r="G1368" s="409" t="s">
        <v>7377</v>
      </c>
      <c r="H1368" s="465">
        <v>1035.0213100000001</v>
      </c>
      <c r="I1368" s="465">
        <v>36.965760000000003</v>
      </c>
      <c r="J1368" s="465">
        <v>167.48025000000001</v>
      </c>
      <c r="K1368" s="465">
        <v>14815.82926</v>
      </c>
      <c r="L1368" s="464" t="s">
        <v>695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sada Square čierna mat</v>
      </c>
      <c r="C1369" s="185">
        <f t="shared" si="43"/>
        <v>58.708620000000003</v>
      </c>
      <c r="D1369" s="409" t="s">
        <v>7378</v>
      </c>
      <c r="E1369" s="409" t="s">
        <v>7379</v>
      </c>
      <c r="F1369" s="409" t="s">
        <v>7380</v>
      </c>
      <c r="G1369" s="409" t="s">
        <v>7381</v>
      </c>
      <c r="H1369" s="465">
        <v>1643.81069</v>
      </c>
      <c r="I1369" s="465">
        <v>58.708620000000003</v>
      </c>
      <c r="J1369" s="465">
        <v>265.9905</v>
      </c>
      <c r="K1369" s="465">
        <v>23530.354609999999</v>
      </c>
      <c r="L1369" s="464" t="s">
        <v>695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sada Big čierna mat</v>
      </c>
      <c r="C1370" s="185">
        <f t="shared" si="43"/>
        <v>64.661689999999993</v>
      </c>
      <c r="D1370" s="409" t="s">
        <v>7382</v>
      </c>
      <c r="E1370" s="409" t="s">
        <v>7383</v>
      </c>
      <c r="F1370" s="409" t="s">
        <v>7384</v>
      </c>
      <c r="G1370" s="409" t="s">
        <v>7385</v>
      </c>
      <c r="H1370" s="465">
        <v>1810.4935700000001</v>
      </c>
      <c r="I1370" s="465">
        <v>64.661689999999993</v>
      </c>
      <c r="J1370" s="465">
        <v>292.96203000000003</v>
      </c>
      <c r="K1370" s="465">
        <v>25916.339370000002</v>
      </c>
      <c r="L1370" s="464" t="s">
        <v>695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sada tlmičov</v>
      </c>
      <c r="C1371" s="185">
        <f t="shared" si="43"/>
        <v>14.00389</v>
      </c>
      <c r="D1371" s="409" t="s">
        <v>7386</v>
      </c>
      <c r="E1371" s="409" t="s">
        <v>7387</v>
      </c>
      <c r="F1371" s="409" t="s">
        <v>7388</v>
      </c>
      <c r="G1371" s="409" t="s">
        <v>7389</v>
      </c>
      <c r="H1371" s="465">
        <v>392.10163</v>
      </c>
      <c r="I1371" s="465">
        <v>14.00389</v>
      </c>
      <c r="J1371" s="465">
        <v>63.447279999999999</v>
      </c>
      <c r="K1371" s="465">
        <v>5612.74514</v>
      </c>
      <c r="L1371" s="464" t="s">
        <v>695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horné vedenie 2m čierna mat</v>
      </c>
      <c r="C1372" s="185">
        <f t="shared" si="43"/>
        <v>22.253170000000001</v>
      </c>
      <c r="D1372" s="409" t="s">
        <v>7390</v>
      </c>
      <c r="E1372" s="409" t="s">
        <v>7391</v>
      </c>
      <c r="F1372" s="409" t="s">
        <v>7392</v>
      </c>
      <c r="G1372" s="409" t="s">
        <v>7393</v>
      </c>
      <c r="H1372" s="465">
        <v>623.07647999999995</v>
      </c>
      <c r="I1372" s="465">
        <v>22.253170000000001</v>
      </c>
      <c r="J1372" s="465">
        <v>100.82210000000001</v>
      </c>
      <c r="K1372" s="465">
        <v>8919.0383199999997</v>
      </c>
      <c r="L1372" s="464" t="s">
        <v>695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horné vedenie 3m čierna mat</v>
      </c>
      <c r="C1373" s="185">
        <f t="shared" si="43"/>
        <v>32.146610000000003</v>
      </c>
      <c r="D1373" s="409" t="s">
        <v>7394</v>
      </c>
      <c r="E1373" s="409" t="s">
        <v>7395</v>
      </c>
      <c r="F1373" s="409" t="s">
        <v>7396</v>
      </c>
      <c r="G1373" s="409" t="s">
        <v>7397</v>
      </c>
      <c r="H1373" s="465">
        <v>900.08754999999996</v>
      </c>
      <c r="I1373" s="465">
        <v>32.146610000000003</v>
      </c>
      <c r="J1373" s="465">
        <v>145.64617999999999</v>
      </c>
      <c r="K1373" s="465">
        <v>12884.31777</v>
      </c>
      <c r="L1373" s="464" t="s">
        <v>695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9" t="e">
        <v>#N/A</v>
      </c>
      <c r="E1374" s="409" t="e">
        <v>#N/A</v>
      </c>
      <c r="F1374" s="409" t="e">
        <v>#N/A</v>
      </c>
      <c r="G1374" s="409" t="e">
        <v>#N/A</v>
      </c>
      <c r="H1374" s="465" t="e">
        <v>#N/A</v>
      </c>
      <c r="I1374" s="465" t="e">
        <v>#N/A</v>
      </c>
      <c r="J1374" s="465" t="e">
        <v>#N/A</v>
      </c>
      <c r="K1374" s="465" t="e">
        <v>#N/A</v>
      </c>
      <c r="L1374" s="464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spojovací materiál na stenu čierna mat</v>
      </c>
      <c r="C1375" s="185">
        <f t="shared" si="43"/>
        <v>3.1182799999999999</v>
      </c>
      <c r="D1375" s="409" t="s">
        <v>7398</v>
      </c>
      <c r="E1375" s="409" t="s">
        <v>7399</v>
      </c>
      <c r="F1375" s="409" t="s">
        <v>7400</v>
      </c>
      <c r="G1375" s="409" t="s">
        <v>7401</v>
      </c>
      <c r="H1375" s="465">
        <v>87.310079999999999</v>
      </c>
      <c r="I1375" s="465">
        <v>3.1182799999999999</v>
      </c>
      <c r="J1375" s="465">
        <v>13.485749999999999</v>
      </c>
      <c r="K1375" s="465">
        <v>1249.8015499999999</v>
      </c>
      <c r="L1375" s="464" t="s">
        <v>695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sada Simple 2m s tlmením, 30-40mm čierna mat</v>
      </c>
      <c r="C1376" s="185">
        <f t="shared" si="43"/>
        <v>91.762420000000006</v>
      </c>
      <c r="D1376" s="409" t="s">
        <v>7402</v>
      </c>
      <c r="E1376" s="409" t="s">
        <v>7403</v>
      </c>
      <c r="F1376" s="409" t="s">
        <v>7404</v>
      </c>
      <c r="G1376" s="409" t="s">
        <v>7405</v>
      </c>
      <c r="H1376" s="465">
        <v>2569.29754</v>
      </c>
      <c r="I1376" s="465">
        <v>91.762420000000006</v>
      </c>
      <c r="J1376" s="465">
        <v>412.53570000000002</v>
      </c>
      <c r="K1376" s="465">
        <v>36778.25099</v>
      </c>
      <c r="L1376" s="464" t="s">
        <v>695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sada Simple 3m s tlmením, 30-40mm čierna mat</v>
      </c>
      <c r="C1377" s="185">
        <f t="shared" si="43"/>
        <v>107.89242</v>
      </c>
      <c r="D1377" s="409" t="s">
        <v>7406</v>
      </c>
      <c r="E1377" s="409" t="s">
        <v>7407</v>
      </c>
      <c r="F1377" s="409" t="s">
        <v>7408</v>
      </c>
      <c r="G1377" s="409" t="s">
        <v>7409</v>
      </c>
      <c r="H1377" s="465">
        <v>3020.92877</v>
      </c>
      <c r="I1377" s="465">
        <v>107.89242</v>
      </c>
      <c r="J1377" s="465">
        <v>484.33127999999999</v>
      </c>
      <c r="K1377" s="465">
        <v>43243.133540000003</v>
      </c>
      <c r="L1377" s="464" t="s">
        <v>695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sada Square 2m s tlmením, 30-40mm čierna mat</v>
      </c>
      <c r="C1378" s="185">
        <f t="shared" si="43"/>
        <v>114.97938000000001</v>
      </c>
      <c r="D1378" s="409" t="s">
        <v>7410</v>
      </c>
      <c r="E1378" s="409" t="s">
        <v>7411</v>
      </c>
      <c r="F1378" s="409" t="s">
        <v>7412</v>
      </c>
      <c r="G1378" s="409" t="s">
        <v>7413</v>
      </c>
      <c r="H1378" s="465">
        <v>3219.36078</v>
      </c>
      <c r="I1378" s="465">
        <v>114.97938000000001</v>
      </c>
      <c r="J1378" s="465">
        <v>517.72460999999998</v>
      </c>
      <c r="K1378" s="465">
        <v>46083.5916</v>
      </c>
      <c r="L1378" s="464" t="s">
        <v>695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sada Square 3m s tlmením, 30-40mm čierna mat</v>
      </c>
      <c r="C1379" s="185">
        <f t="shared" si="43"/>
        <v>124.87282</v>
      </c>
      <c r="D1379" s="409" t="s">
        <v>7414</v>
      </c>
      <c r="E1379" s="409" t="s">
        <v>7415</v>
      </c>
      <c r="F1379" s="409" t="s">
        <v>7416</v>
      </c>
      <c r="G1379" s="409" t="s">
        <v>7417</v>
      </c>
      <c r="H1379" s="465">
        <v>3496.37185</v>
      </c>
      <c r="I1379" s="465">
        <v>124.87282</v>
      </c>
      <c r="J1379" s="465">
        <v>562.54868999999997</v>
      </c>
      <c r="K1379" s="465">
        <v>50048.871050000002</v>
      </c>
      <c r="L1379" s="464" t="s">
        <v>695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sada Big 2m s tlmením, 30-40mm čierna mat</v>
      </c>
      <c r="C1380" s="185">
        <f t="shared" si="43"/>
        <v>119.45835</v>
      </c>
      <c r="D1380" s="409" t="s">
        <v>7418</v>
      </c>
      <c r="E1380" s="409" t="s">
        <v>7419</v>
      </c>
      <c r="F1380" s="409" t="s">
        <v>7420</v>
      </c>
      <c r="G1380" s="409" t="s">
        <v>7421</v>
      </c>
      <c r="H1380" s="465">
        <v>3344.7698</v>
      </c>
      <c r="I1380" s="465">
        <v>119.45835</v>
      </c>
      <c r="J1380" s="465">
        <v>538.01747999999998</v>
      </c>
      <c r="K1380" s="465">
        <v>47878.761100000003</v>
      </c>
      <c r="L1380" s="464" t="s">
        <v>695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sada Big 3m s tlmením, 30-40mm čierna mat</v>
      </c>
      <c r="C1381" s="185">
        <f t="shared" si="43"/>
        <v>135.58834999999999</v>
      </c>
      <c r="D1381" s="409" t="s">
        <v>7422</v>
      </c>
      <c r="E1381" s="409" t="s">
        <v>7423</v>
      </c>
      <c r="F1381" s="409" t="s">
        <v>7424</v>
      </c>
      <c r="G1381" s="409" t="s">
        <v>7425</v>
      </c>
      <c r="H1381" s="465">
        <v>3796.40103</v>
      </c>
      <c r="I1381" s="465">
        <v>135.58834999999999</v>
      </c>
      <c r="J1381" s="465">
        <v>609.81305999999995</v>
      </c>
      <c r="K1381" s="465">
        <v>54343.643649999998</v>
      </c>
      <c r="L1381" s="464" t="s">
        <v>695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sada Simple 2m bez tlmenia, 30-40mm čierna mat</v>
      </c>
      <c r="C1382" s="185">
        <f t="shared" si="43"/>
        <v>77.758529999999993</v>
      </c>
      <c r="D1382" s="409" t="s">
        <v>7426</v>
      </c>
      <c r="E1382" s="409" t="s">
        <v>7427</v>
      </c>
      <c r="F1382" s="409" t="s">
        <v>7428</v>
      </c>
      <c r="G1382" s="409" t="s">
        <v>7429</v>
      </c>
      <c r="H1382" s="465">
        <v>2177.1959099999999</v>
      </c>
      <c r="I1382" s="465">
        <v>77.758529999999993</v>
      </c>
      <c r="J1382" s="465">
        <v>349.08841999999999</v>
      </c>
      <c r="K1382" s="465">
        <v>31165.505850000001</v>
      </c>
      <c r="L1382" s="464" t="s">
        <v>695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sada Simple 3m bez tlmenia, 30-40mm čierna mat</v>
      </c>
      <c r="C1383" s="185">
        <f t="shared" si="43"/>
        <v>93.888530000000003</v>
      </c>
      <c r="D1383" s="409" t="s">
        <v>7430</v>
      </c>
      <c r="E1383" s="409" t="s">
        <v>7431</v>
      </c>
      <c r="F1383" s="409" t="s">
        <v>7432</v>
      </c>
      <c r="G1383" s="409" t="s">
        <v>7433</v>
      </c>
      <c r="H1383" s="465">
        <v>2628.8271399999999</v>
      </c>
      <c r="I1383" s="465">
        <v>93.888530000000003</v>
      </c>
      <c r="J1383" s="465">
        <v>420.88400000000001</v>
      </c>
      <c r="K1383" s="465">
        <v>37630.388400000003</v>
      </c>
      <c r="L1383" s="464" t="s">
        <v>695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sada Big 2m bez tlmenia, 30-40mm čierna mat</v>
      </c>
      <c r="C1384" s="185">
        <f t="shared" si="43"/>
        <v>105.45446</v>
      </c>
      <c r="D1384" s="409" t="s">
        <v>7434</v>
      </c>
      <c r="E1384" s="409" t="s">
        <v>7435</v>
      </c>
      <c r="F1384" s="409" t="s">
        <v>7436</v>
      </c>
      <c r="G1384" s="409" t="s">
        <v>7437</v>
      </c>
      <c r="H1384" s="465">
        <v>2952.6681699999999</v>
      </c>
      <c r="I1384" s="465">
        <v>105.45446</v>
      </c>
      <c r="J1384" s="465">
        <v>474.5702</v>
      </c>
      <c r="K1384" s="465">
        <v>42266.015959999997</v>
      </c>
      <c r="L1384" s="464" t="s">
        <v>695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sada Big 3m bez tlmenia, 30-40mm čierna mat</v>
      </c>
      <c r="C1385" s="185">
        <f t="shared" si="43"/>
        <v>121.58446000000001</v>
      </c>
      <c r="D1385" s="409" t="s">
        <v>7438</v>
      </c>
      <c r="E1385" s="409" t="s">
        <v>7439</v>
      </c>
      <c r="F1385" s="409" t="s">
        <v>7440</v>
      </c>
      <c r="G1385" s="409" t="s">
        <v>7441</v>
      </c>
      <c r="H1385" s="465">
        <v>3404.2993999999999</v>
      </c>
      <c r="I1385" s="465">
        <v>121.58446000000001</v>
      </c>
      <c r="J1385" s="465">
        <v>546.36577999999997</v>
      </c>
      <c r="K1385" s="465">
        <v>48730.898509999999</v>
      </c>
      <c r="L1385" s="464" t="s">
        <v>695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sada Square 2m bez tlmenia, 30-40mm čierna mat</v>
      </c>
      <c r="C1386" s="185">
        <f t="shared" si="43"/>
        <v>100.97548999999999</v>
      </c>
      <c r="D1386" s="409" t="s">
        <v>7442</v>
      </c>
      <c r="E1386" s="409" t="s">
        <v>7443</v>
      </c>
      <c r="F1386" s="409" t="s">
        <v>7444</v>
      </c>
      <c r="G1386" s="409" t="s">
        <v>7445</v>
      </c>
      <c r="H1386" s="465">
        <v>2827.2591499999999</v>
      </c>
      <c r="I1386" s="465">
        <v>100.97548999999999</v>
      </c>
      <c r="J1386" s="465">
        <v>454.27733000000001</v>
      </c>
      <c r="K1386" s="465">
        <v>40470.846460000001</v>
      </c>
      <c r="L1386" s="464" t="s">
        <v>695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sada Square 3m bez tlmenia, 30-40mm čierna mat</v>
      </c>
      <c r="C1387" s="185">
        <f t="shared" si="43"/>
        <v>117.10549</v>
      </c>
      <c r="D1387" s="409" t="s">
        <v>7446</v>
      </c>
      <c r="E1387" s="409" t="s">
        <v>7447</v>
      </c>
      <c r="F1387" s="409" t="s">
        <v>7448</v>
      </c>
      <c r="G1387" s="409" t="s">
        <v>7449</v>
      </c>
      <c r="H1387" s="465">
        <v>3278.8903799999998</v>
      </c>
      <c r="I1387" s="465">
        <v>117.10549</v>
      </c>
      <c r="J1387" s="465">
        <v>526.07290999999998</v>
      </c>
      <c r="K1387" s="465">
        <v>46935.729010000003</v>
      </c>
      <c r="L1387" s="464" t="s">
        <v>695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IC-úchytová lišta Comfort 10mm 2,7m strieborná</v>
      </c>
      <c r="C1388" s="185">
        <f t="shared" si="43"/>
        <v>12.46425</v>
      </c>
      <c r="D1388" s="409" t="s">
        <v>7450</v>
      </c>
      <c r="E1388" s="409" t="s">
        <v>7451</v>
      </c>
      <c r="F1388" s="409" t="s">
        <v>7452</v>
      </c>
      <c r="G1388" s="409" t="s">
        <v>7453</v>
      </c>
      <c r="H1388" s="465">
        <v>320.25</v>
      </c>
      <c r="I1388" s="465">
        <v>12.46425</v>
      </c>
      <c r="J1388" s="465">
        <v>68.733559999999997</v>
      </c>
      <c r="K1388" s="465">
        <v>0</v>
      </c>
      <c r="L1388" s="464" t="s">
        <v>537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IC-úch.lišta Harmony 10mm 2,7m strieborn</v>
      </c>
      <c r="C1389" s="185">
        <f t="shared" si="43"/>
        <v>13.4178</v>
      </c>
      <c r="D1389" s="409" t="s">
        <v>7454</v>
      </c>
      <c r="E1389" s="409" t="s">
        <v>7455</v>
      </c>
      <c r="F1389" s="409" t="s">
        <v>7456</v>
      </c>
      <c r="G1389" s="409" t="s">
        <v>7457</v>
      </c>
      <c r="H1389" s="465">
        <v>560</v>
      </c>
      <c r="I1389" s="465">
        <v>13.4178</v>
      </c>
      <c r="J1389" s="465">
        <v>73.991860000000003</v>
      </c>
      <c r="K1389" s="465">
        <v>11272.25807</v>
      </c>
      <c r="L1389" s="464" t="s">
        <v>539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IC-horná vodiaca lišta 10mm 3m  striebor</v>
      </c>
      <c r="C1390" s="185">
        <f t="shared" si="43"/>
        <v>7.4921800000000003</v>
      </c>
      <c r="D1390" s="409" t="s">
        <v>7458</v>
      </c>
      <c r="E1390" s="409" t="s">
        <v>7459</v>
      </c>
      <c r="F1390" s="409" t="s">
        <v>7460</v>
      </c>
      <c r="G1390" s="409" t="s">
        <v>7461</v>
      </c>
      <c r="H1390" s="465">
        <v>313.25</v>
      </c>
      <c r="I1390" s="465">
        <v>7.4921800000000003</v>
      </c>
      <c r="J1390" s="465">
        <v>41.315260000000002</v>
      </c>
      <c r="K1390" s="465">
        <v>6305.4193699999996</v>
      </c>
      <c r="L1390" s="464" t="s">
        <v>539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IC-Horná vodiaca lišta10mm 5m strieborná</v>
      </c>
      <c r="C1391" s="185">
        <f t="shared" si="43"/>
        <v>7.9693899999999998</v>
      </c>
      <c r="D1391" s="409" t="s">
        <v>7462</v>
      </c>
      <c r="E1391" s="409" t="s">
        <v>7463</v>
      </c>
      <c r="F1391" s="409" t="s">
        <v>7464</v>
      </c>
      <c r="G1391" s="409" t="s">
        <v>7465</v>
      </c>
      <c r="H1391" s="465">
        <v>475.125</v>
      </c>
      <c r="I1391" s="465">
        <v>7.9693899999999998</v>
      </c>
      <c r="J1391" s="465">
        <v>62.724060000000001</v>
      </c>
      <c r="K1391" s="465">
        <v>9563.8064599999998</v>
      </c>
      <c r="L1391" s="464" t="s">
        <v>539</v>
      </c>
      <c r="O1391">
        <v>0</v>
      </c>
      <c r="P1391" t="s">
        <v>9805</v>
      </c>
    </row>
    <row r="1392" spans="1:16" ht="14.4" x14ac:dyDescent="0.3">
      <c r="A1392">
        <v>462027</v>
      </c>
      <c r="B1392" t="str">
        <f t="shared" si="42"/>
        <v>SEVROLL 04299-A maska Elegant II 4,05m oliva new</v>
      </c>
      <c r="C1392" s="185" t="e">
        <f t="shared" si="43"/>
        <v>#N/A</v>
      </c>
      <c r="D1392" s="409" t="s">
        <v>1367</v>
      </c>
      <c r="E1392" s="409" t="s">
        <v>1816</v>
      </c>
      <c r="F1392" s="409" t="s">
        <v>1367</v>
      </c>
      <c r="G1392" s="409" t="s">
        <v>5838</v>
      </c>
      <c r="H1392" s="465" t="e">
        <v>#N/A</v>
      </c>
      <c r="I1392" s="465" t="e">
        <v>#N/A</v>
      </c>
      <c r="J1392" s="465" t="e">
        <v>#N/A</v>
      </c>
      <c r="K1392" s="465" t="e">
        <v>#N/A</v>
      </c>
      <c r="L1392" s="464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str">
        <f t="shared" si="42"/>
        <v>SEVROLL 04301-A maska Elegant II 6m oliva new</v>
      </c>
      <c r="C1393" s="185" t="e">
        <f t="shared" si="43"/>
        <v>#N/A</v>
      </c>
      <c r="D1393" s="409" t="s">
        <v>1368</v>
      </c>
      <c r="E1393" s="409" t="s">
        <v>1817</v>
      </c>
      <c r="F1393" s="409" t="s">
        <v>1368</v>
      </c>
      <c r="G1393" s="409" t="s">
        <v>5839</v>
      </c>
      <c r="H1393" s="465" t="e">
        <v>#N/A</v>
      </c>
      <c r="I1393" s="465" t="e">
        <v>#N/A</v>
      </c>
      <c r="J1393" s="465" t="e">
        <v>#N/A</v>
      </c>
      <c r="K1393" s="465" t="e">
        <v>#N/A</v>
      </c>
      <c r="L1393" s="464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str">
        <f t="shared" si="42"/>
        <v>SEVROLL 04466-M Blue horné vedenie  2m oliva new</v>
      </c>
      <c r="C1394" s="185" t="e">
        <f t="shared" si="43"/>
        <v>#N/A</v>
      </c>
      <c r="D1394" s="409" t="s">
        <v>1369</v>
      </c>
      <c r="E1394" s="409" t="s">
        <v>1818</v>
      </c>
      <c r="F1394" s="409" t="s">
        <v>5840</v>
      </c>
      <c r="G1394" s="409" t="s">
        <v>5841</v>
      </c>
      <c r="H1394" s="465" t="e">
        <v>#N/A</v>
      </c>
      <c r="I1394" s="465" t="e">
        <v>#N/A</v>
      </c>
      <c r="J1394" s="465" t="e">
        <v>#N/A</v>
      </c>
      <c r="K1394" s="465" t="e">
        <v>#N/A</v>
      </c>
      <c r="L1394" s="464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str">
        <f t="shared" si="42"/>
        <v>SEVROLL Blue horné vedenie 2,5m oliva new new</v>
      </c>
      <c r="C1395" s="185" t="e">
        <f t="shared" si="43"/>
        <v>#N/A</v>
      </c>
      <c r="D1395" s="409" t="s">
        <v>1370</v>
      </c>
      <c r="E1395" s="409" t="s">
        <v>1819</v>
      </c>
      <c r="F1395" s="409" t="s">
        <v>2161</v>
      </c>
      <c r="G1395" s="409" t="s">
        <v>2383</v>
      </c>
      <c r="H1395" s="465" t="e">
        <v>#N/A</v>
      </c>
      <c r="I1395" s="465" t="e">
        <v>#N/A</v>
      </c>
      <c r="J1395" s="465" t="e">
        <v>#N/A</v>
      </c>
      <c r="K1395" s="465" t="e">
        <v>#N/A</v>
      </c>
      <c r="L1395" s="464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str">
        <f t="shared" si="42"/>
        <v>SEVROLL 04468-M Blue horné vedenie  3m oliva new</v>
      </c>
      <c r="C1396" s="185" t="e">
        <f t="shared" si="43"/>
        <v>#N/A</v>
      </c>
      <c r="D1396" s="409" t="s">
        <v>1371</v>
      </c>
      <c r="E1396" s="409" t="s">
        <v>1820</v>
      </c>
      <c r="F1396" s="409" t="s">
        <v>5842</v>
      </c>
      <c r="G1396" s="409" t="s">
        <v>5843</v>
      </c>
      <c r="H1396" s="465" t="e">
        <v>#N/A</v>
      </c>
      <c r="I1396" s="465" t="e">
        <v>#N/A</v>
      </c>
      <c r="J1396" s="465" t="e">
        <v>#N/A</v>
      </c>
      <c r="K1396" s="465" t="e">
        <v>#N/A</v>
      </c>
      <c r="L1396" s="464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str">
        <f t="shared" si="42"/>
        <v>SEVROLL 04469-M Blue horné vedenie  4m oliva new</v>
      </c>
      <c r="C1397" s="185" t="e">
        <f t="shared" si="43"/>
        <v>#N/A</v>
      </c>
      <c r="D1397" s="409" t="s">
        <v>1372</v>
      </c>
      <c r="E1397" s="409" t="s">
        <v>1821</v>
      </c>
      <c r="F1397" s="409" t="s">
        <v>5844</v>
      </c>
      <c r="G1397" s="409" t="s">
        <v>5845</v>
      </c>
      <c r="H1397" s="465" t="e">
        <v>#N/A</v>
      </c>
      <c r="I1397" s="465" t="e">
        <v>#N/A</v>
      </c>
      <c r="J1397" s="465" t="e">
        <v>#N/A</v>
      </c>
      <c r="K1397" s="465" t="e">
        <v>#N/A</v>
      </c>
      <c r="L1397" s="464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str">
        <f t="shared" si="42"/>
        <v>SEVROLL Blue-V spodné vedenie 2,5m oliva new new</v>
      </c>
      <c r="C1398" s="185" t="e">
        <f t="shared" si="43"/>
        <v>#N/A</v>
      </c>
      <c r="D1398" s="409" t="s">
        <v>1373</v>
      </c>
      <c r="E1398" s="409" t="s">
        <v>1822</v>
      </c>
      <c r="F1398" s="409" t="s">
        <v>2162</v>
      </c>
      <c r="G1398" s="409" t="s">
        <v>2384</v>
      </c>
      <c r="H1398" s="465" t="e">
        <v>#N/A</v>
      </c>
      <c r="I1398" s="465" t="e">
        <v>#N/A</v>
      </c>
      <c r="J1398" s="465" t="e">
        <v>#N/A</v>
      </c>
      <c r="K1398" s="465" t="e">
        <v>#N/A</v>
      </c>
      <c r="L1398" s="464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str">
        <f t="shared" si="42"/>
        <v>SEVROLL Blue-V spodné vedenie 1,5m oliva new new</v>
      </c>
      <c r="C1399" s="185" t="e">
        <f t="shared" si="43"/>
        <v>#N/A</v>
      </c>
      <c r="D1399" s="409" t="s">
        <v>1374</v>
      </c>
      <c r="E1399" s="409" t="s">
        <v>1823</v>
      </c>
      <c r="F1399" s="409" t="s">
        <v>2163</v>
      </c>
      <c r="G1399" s="409" t="s">
        <v>2385</v>
      </c>
      <c r="H1399" s="465" t="e">
        <v>#N/A</v>
      </c>
      <c r="I1399" s="465" t="e">
        <v>#N/A</v>
      </c>
      <c r="J1399" s="465" t="e">
        <v>#N/A</v>
      </c>
      <c r="K1399" s="465" t="e">
        <v>#N/A</v>
      </c>
      <c r="L1399" s="464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str">
        <f t="shared" si="42"/>
        <v>SEVROLL 04492-M Blue-V spodné vedenie  3m oliva new</v>
      </c>
      <c r="C1400" s="185" t="e">
        <f t="shared" si="43"/>
        <v>#N/A</v>
      </c>
      <c r="D1400" s="409" t="s">
        <v>1375</v>
      </c>
      <c r="E1400" s="409" t="s">
        <v>1824</v>
      </c>
      <c r="F1400" s="409" t="s">
        <v>5846</v>
      </c>
      <c r="G1400" s="409" t="s">
        <v>5847</v>
      </c>
      <c r="H1400" s="465" t="e">
        <v>#N/A</v>
      </c>
      <c r="I1400" s="465" t="e">
        <v>#N/A</v>
      </c>
      <c r="J1400" s="465" t="e">
        <v>#N/A</v>
      </c>
      <c r="K1400" s="465" t="e">
        <v>#N/A</v>
      </c>
      <c r="L1400" s="464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str">
        <f t="shared" si="42"/>
        <v>SEVROLL 04493-M Blue-V spodné vedenie  4m oliva new</v>
      </c>
      <c r="C1401" s="185" t="e">
        <f t="shared" si="43"/>
        <v>#N/A</v>
      </c>
      <c r="D1401" s="409" t="s">
        <v>1376</v>
      </c>
      <c r="E1401" s="409" t="s">
        <v>1825</v>
      </c>
      <c r="F1401" s="409" t="s">
        <v>5848</v>
      </c>
      <c r="G1401" s="409" t="s">
        <v>5849</v>
      </c>
      <c r="H1401" s="465" t="e">
        <v>#N/A</v>
      </c>
      <c r="I1401" s="465" t="e">
        <v>#N/A</v>
      </c>
      <c r="J1401" s="465" t="e">
        <v>#N/A</v>
      </c>
      <c r="K1401" s="465" t="e">
        <v>#N/A</v>
      </c>
      <c r="L1401" s="464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str">
        <f t="shared" si="42"/>
        <v>SEVROLL Blue-C spodné vedenie 2m oliva new new</v>
      </c>
      <c r="C1402" s="185" t="e">
        <f t="shared" si="43"/>
        <v>#N/A</v>
      </c>
      <c r="D1402" s="409" t="s">
        <v>1377</v>
      </c>
      <c r="E1402" s="409" t="s">
        <v>1826</v>
      </c>
      <c r="F1402" s="409" t="s">
        <v>2164</v>
      </c>
      <c r="G1402" s="409" t="s">
        <v>2386</v>
      </c>
      <c r="H1402" s="465" t="e">
        <v>#N/A</v>
      </c>
      <c r="I1402" s="465" t="e">
        <v>#N/A</v>
      </c>
      <c r="J1402" s="465" t="e">
        <v>#N/A</v>
      </c>
      <c r="K1402" s="465" t="e">
        <v>#N/A</v>
      </c>
      <c r="L1402" s="464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str">
        <f t="shared" si="42"/>
        <v>SEVROLL Blue-C spodné vedenie 2,5m oliva new new</v>
      </c>
      <c r="C1403" s="185" t="e">
        <f t="shared" si="43"/>
        <v>#N/A</v>
      </c>
      <c r="D1403" s="409" t="s">
        <v>1378</v>
      </c>
      <c r="E1403" s="409" t="s">
        <v>1827</v>
      </c>
      <c r="F1403" s="409" t="s">
        <v>2165</v>
      </c>
      <c r="G1403" s="409" t="s">
        <v>2387</v>
      </c>
      <c r="H1403" s="465" t="e">
        <v>#N/A</v>
      </c>
      <c r="I1403" s="465" t="e">
        <v>#N/A</v>
      </c>
      <c r="J1403" s="465" t="e">
        <v>#N/A</v>
      </c>
      <c r="K1403" s="465" t="e">
        <v>#N/A</v>
      </c>
      <c r="L1403" s="464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str">
        <f t="shared" si="42"/>
        <v>SEVROLL Blue-C spodné vedenie 3m oliva new new</v>
      </c>
      <c r="C1404" s="185" t="e">
        <f t="shared" si="43"/>
        <v>#N/A</v>
      </c>
      <c r="D1404" s="409" t="s">
        <v>1379</v>
      </c>
      <c r="E1404" s="409" t="s">
        <v>1828</v>
      </c>
      <c r="F1404" s="409" t="s">
        <v>2166</v>
      </c>
      <c r="G1404" s="409" t="s">
        <v>2388</v>
      </c>
      <c r="H1404" s="465" t="e">
        <v>#N/A</v>
      </c>
      <c r="I1404" s="465" t="e">
        <v>#N/A</v>
      </c>
      <c r="J1404" s="465" t="e">
        <v>#N/A</v>
      </c>
      <c r="K1404" s="465" t="e">
        <v>#N/A</v>
      </c>
      <c r="L1404" s="464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str">
        <f t="shared" si="42"/>
        <v>SEVROLL Blue-C spodné vedenie 4m oliva new new</v>
      </c>
      <c r="C1405" s="185" t="e">
        <f t="shared" si="43"/>
        <v>#N/A</v>
      </c>
      <c r="D1405" s="409" t="s">
        <v>1380</v>
      </c>
      <c r="E1405" s="409" t="s">
        <v>1829</v>
      </c>
      <c r="F1405" s="409" t="s">
        <v>2167</v>
      </c>
      <c r="G1405" s="409" t="s">
        <v>2389</v>
      </c>
      <c r="H1405" s="465" t="e">
        <v>#N/A</v>
      </c>
      <c r="I1405" s="465" t="e">
        <v>#N/A</v>
      </c>
      <c r="J1405" s="465" t="e">
        <v>#N/A</v>
      </c>
      <c r="K1405" s="465" t="e">
        <v>#N/A</v>
      </c>
      <c r="L1405" s="464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str">
        <f t="shared" si="42"/>
        <v>SEVROLL Blue-C spodné vedenie 6m oliva new new</v>
      </c>
      <c r="C1406" s="185" t="e">
        <f t="shared" si="43"/>
        <v>#N/A</v>
      </c>
      <c r="D1406" s="409" t="s">
        <v>1381</v>
      </c>
      <c r="E1406" s="409" t="s">
        <v>1830</v>
      </c>
      <c r="F1406" s="409" t="s">
        <v>2168</v>
      </c>
      <c r="G1406" s="409" t="s">
        <v>2390</v>
      </c>
      <c r="H1406" s="465" t="e">
        <v>#N/A</v>
      </c>
      <c r="I1406" s="465" t="e">
        <v>#N/A</v>
      </c>
      <c r="J1406" s="465" t="e">
        <v>#N/A</v>
      </c>
      <c r="K1406" s="465" t="e">
        <v>#N/A</v>
      </c>
      <c r="L1406" s="464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str">
        <f t="shared" si="42"/>
        <v>SEVROLL 04278-A Elegant II spodné vedenie  6m oliva new</v>
      </c>
      <c r="C1407" s="185" t="e">
        <f t="shared" si="43"/>
        <v>#N/A</v>
      </c>
      <c r="D1407" s="409" t="s">
        <v>1382</v>
      </c>
      <c r="E1407" s="409" t="s">
        <v>1831</v>
      </c>
      <c r="F1407" s="409" t="s">
        <v>5850</v>
      </c>
      <c r="G1407" s="409" t="s">
        <v>5851</v>
      </c>
      <c r="H1407" s="465" t="e">
        <v>#N/A</v>
      </c>
      <c r="I1407" s="465" t="e">
        <v>#N/A</v>
      </c>
      <c r="J1407" s="465" t="e">
        <v>#N/A</v>
      </c>
      <c r="K1407" s="465" t="e">
        <v>#N/A</v>
      </c>
      <c r="L1407" s="464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str">
        <f t="shared" si="42"/>
        <v>SEVROLL 04905-A Vitara úchytová lišta 2,7m oliva new</v>
      </c>
      <c r="C1408" s="185" t="e">
        <f t="shared" si="43"/>
        <v>#N/A</v>
      </c>
      <c r="D1408" s="409" t="s">
        <v>1383</v>
      </c>
      <c r="E1408" s="409" t="s">
        <v>1832</v>
      </c>
      <c r="F1408" s="409" t="s">
        <v>1383</v>
      </c>
      <c r="G1408" s="409" t="s">
        <v>2391</v>
      </c>
      <c r="H1408" s="465" t="e">
        <v>#N/A</v>
      </c>
      <c r="I1408" s="465" t="e">
        <v>#N/A</v>
      </c>
      <c r="J1408" s="465" t="e">
        <v>#N/A</v>
      </c>
      <c r="K1408" s="465" t="e">
        <v>#N/A</v>
      </c>
      <c r="L1408" s="464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str">
        <f t="shared" si="42"/>
        <v>SEVROLL Maxim horné vedenie 1,8m oliva new new</v>
      </c>
      <c r="C1409" s="185" t="e">
        <f t="shared" si="43"/>
        <v>#N/A</v>
      </c>
      <c r="D1409" s="409" t="s">
        <v>1384</v>
      </c>
      <c r="E1409" s="409" t="s">
        <v>1833</v>
      </c>
      <c r="F1409" s="409" t="s">
        <v>2169</v>
      </c>
      <c r="G1409" s="409" t="s">
        <v>2392</v>
      </c>
      <c r="H1409" s="465" t="e">
        <v>#N/A</v>
      </c>
      <c r="I1409" s="465" t="e">
        <v>#N/A</v>
      </c>
      <c r="J1409" s="465" t="e">
        <v>#N/A</v>
      </c>
      <c r="K1409" s="465" t="e">
        <v>#N/A</v>
      </c>
      <c r="L1409" s="464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str">
        <f t="shared" si="42"/>
        <v>SEVROLL Porto úchytová lišta 3m oliva new new</v>
      </c>
      <c r="C1410" s="185" t="e">
        <f t="shared" si="43"/>
        <v>#N/A</v>
      </c>
      <c r="D1410" s="409" t="s">
        <v>1385</v>
      </c>
      <c r="E1410" s="409" t="s">
        <v>1834</v>
      </c>
      <c r="F1410" s="409" t="s">
        <v>2170</v>
      </c>
      <c r="G1410" s="409" t="s">
        <v>2393</v>
      </c>
      <c r="H1410" s="465" t="e">
        <v>#N/A</v>
      </c>
      <c r="I1410" s="465" t="e">
        <v>#N/A</v>
      </c>
      <c r="J1410" s="465" t="e">
        <v>#N/A</v>
      </c>
      <c r="K1410" s="465" t="e">
        <v>#N/A</v>
      </c>
      <c r="L1410" s="464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str">
        <f t="shared" si="42"/>
        <v>SEVROLL Maxim horné vedenie 1,8m oliva new new</v>
      </c>
      <c r="C1411" s="185" t="e">
        <f t="shared" si="43"/>
        <v>#N/A</v>
      </c>
      <c r="D1411" s="409" t="s">
        <v>1386</v>
      </c>
      <c r="E1411" s="409" t="s">
        <v>1835</v>
      </c>
      <c r="F1411" s="409" t="s">
        <v>2169</v>
      </c>
      <c r="G1411" s="409" t="s">
        <v>2392</v>
      </c>
      <c r="H1411" s="465" t="e">
        <v>#N/A</v>
      </c>
      <c r="I1411" s="465" t="e">
        <v>#N/A</v>
      </c>
      <c r="J1411" s="465" t="e">
        <v>#N/A</v>
      </c>
      <c r="K1411" s="465" t="e">
        <v>#N/A</v>
      </c>
      <c r="L1411" s="464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úchytová lišta 100mm čierna mat (vzorka)</v>
      </c>
      <c r="C1412" s="185">
        <f t="shared" ref="C1412:C1475" si="45">IF($A$2=1,H1412,IF($A$2=2,I1412,IF($A$2=3,J1412,IF($A$2=4,K1412,IF($A$2&gt;4,O1412,"zadat jazyk")))))</f>
        <v>0.31680999999999998</v>
      </c>
      <c r="D1412" s="409" t="s">
        <v>1387</v>
      </c>
      <c r="E1412" s="409" t="s">
        <v>1836</v>
      </c>
      <c r="F1412" s="409" t="s">
        <v>5852</v>
      </c>
      <c r="G1412" s="409" t="s">
        <v>2394</v>
      </c>
      <c r="H1412" s="465">
        <v>8.0211299999999994</v>
      </c>
      <c r="I1412" s="465">
        <v>0.31680999999999998</v>
      </c>
      <c r="J1412" s="465">
        <v>1.54355</v>
      </c>
      <c r="K1412" s="465">
        <v>137.10875999999999</v>
      </c>
      <c r="L1412" s="464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úchytová liš.100mm biela mat</v>
      </c>
      <c r="C1413" s="185">
        <f t="shared" si="45"/>
        <v>0.31263999999999997</v>
      </c>
      <c r="D1413" s="409" t="s">
        <v>1388</v>
      </c>
      <c r="E1413" s="409" t="s">
        <v>1837</v>
      </c>
      <c r="F1413" s="409" t="s">
        <v>2171</v>
      </c>
      <c r="G1413" s="409" t="s">
        <v>2395</v>
      </c>
      <c r="H1413" s="465">
        <v>7.9156300000000002</v>
      </c>
      <c r="I1413" s="465">
        <v>0.31263999999999997</v>
      </c>
      <c r="J1413" s="465">
        <v>1.5232399999999999</v>
      </c>
      <c r="K1413" s="465">
        <v>135.30548999999999</v>
      </c>
      <c r="L1413" s="464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úchytová lišta 100mm čierna lesk (vzorka)</v>
      </c>
      <c r="C1414" s="185">
        <f t="shared" si="45"/>
        <v>0.37302999999999997</v>
      </c>
      <c r="D1414" s="409" t="s">
        <v>1389</v>
      </c>
      <c r="E1414" s="409" t="s">
        <v>1838</v>
      </c>
      <c r="F1414" s="409" t="s">
        <v>5853</v>
      </c>
      <c r="G1414" s="409" t="s">
        <v>2396</v>
      </c>
      <c r="H1414" s="465">
        <v>9.4446300000000001</v>
      </c>
      <c r="I1414" s="465">
        <v>0.37302999999999997</v>
      </c>
      <c r="J1414" s="465">
        <v>1.8174399999999999</v>
      </c>
      <c r="K1414" s="465">
        <v>161.44137000000001</v>
      </c>
      <c r="L1414" s="464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/>
      </c>
      <c r="C1415" s="185">
        <f t="shared" si="45"/>
        <v>0.24016999999999999</v>
      </c>
      <c r="D1415" s="409" t="s">
        <v>1390</v>
      </c>
      <c r="E1415" s="409" t="s">
        <v>1839</v>
      </c>
      <c r="F1415" s="409" t="s">
        <v>68</v>
      </c>
      <c r="G1415" s="409" t="s">
        <v>68</v>
      </c>
      <c r="H1415" s="465">
        <v>6.0808299999999997</v>
      </c>
      <c r="I1415" s="465">
        <v>0.24016999999999999</v>
      </c>
      <c r="J1415" s="465">
        <v>1.17014</v>
      </c>
      <c r="K1415" s="465">
        <v>103.94232</v>
      </c>
      <c r="L1415" s="464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/>
      </c>
      <c r="C1416" s="185">
        <f t="shared" si="45"/>
        <v>0.45943000000000001</v>
      </c>
      <c r="D1416" s="409" t="s">
        <v>1391</v>
      </c>
      <c r="E1416" s="409" t="s">
        <v>1840</v>
      </c>
      <c r="F1416" s="409" t="s">
        <v>68</v>
      </c>
      <c r="G1416" s="409" t="s">
        <v>68</v>
      </c>
      <c r="H1416" s="465">
        <v>11.632020000000001</v>
      </c>
      <c r="I1416" s="465">
        <v>0.45943000000000001</v>
      </c>
      <c r="J1416" s="465">
        <v>2.2383799999999998</v>
      </c>
      <c r="K1416" s="465">
        <v>198.83131</v>
      </c>
      <c r="L1416" s="464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/>
      </c>
      <c r="C1417" s="185">
        <f t="shared" si="45"/>
        <v>0</v>
      </c>
      <c r="D1417" s="409" t="s">
        <v>1392</v>
      </c>
      <c r="E1417" s="409" t="s">
        <v>68</v>
      </c>
      <c r="F1417" s="409" t="s">
        <v>68</v>
      </c>
      <c r="G1417" s="409" t="s">
        <v>68</v>
      </c>
      <c r="H1417" s="465">
        <v>0</v>
      </c>
      <c r="I1417" s="465">
        <v>0</v>
      </c>
      <c r="J1417" s="465">
        <v>231.57578000000001</v>
      </c>
      <c r="K1417" s="465">
        <v>0</v>
      </c>
      <c r="L1417" s="464" t="s">
        <v>539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/>
      </c>
      <c r="C1418" s="185">
        <f t="shared" si="45"/>
        <v>2.5000000000000001E-4</v>
      </c>
      <c r="D1418" s="409" t="s">
        <v>1393</v>
      </c>
      <c r="E1418" s="409" t="s">
        <v>68</v>
      </c>
      <c r="F1418" s="409" t="s">
        <v>68</v>
      </c>
      <c r="G1418" s="409" t="s">
        <v>68</v>
      </c>
      <c r="H1418" s="465">
        <v>7.1199999999999996E-3</v>
      </c>
      <c r="I1418" s="465">
        <v>2.5000000000000001E-4</v>
      </c>
      <c r="J1418" s="465">
        <v>337.33834999999999</v>
      </c>
      <c r="K1418" s="465">
        <v>9.9199999999999997E-2</v>
      </c>
      <c r="L1418" s="464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/>
      </c>
      <c r="C1419" s="185">
        <f t="shared" si="45"/>
        <v>0</v>
      </c>
      <c r="D1419" s="409" t="s">
        <v>1394</v>
      </c>
      <c r="E1419" s="409" t="s">
        <v>68</v>
      </c>
      <c r="F1419" s="409" t="s">
        <v>68</v>
      </c>
      <c r="G1419" s="409" t="s">
        <v>68</v>
      </c>
      <c r="H1419" s="465">
        <v>0</v>
      </c>
      <c r="I1419" s="465">
        <v>0</v>
      </c>
      <c r="J1419" s="465">
        <v>442.46870999999999</v>
      </c>
      <c r="K1419" s="465">
        <v>0</v>
      </c>
      <c r="L1419" s="464" t="s">
        <v>539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/>
      </c>
      <c r="C1420" s="185">
        <f t="shared" si="45"/>
        <v>0</v>
      </c>
      <c r="D1420" s="409" t="s">
        <v>1395</v>
      </c>
      <c r="E1420" s="409" t="s">
        <v>68</v>
      </c>
      <c r="F1420" s="409" t="s">
        <v>68</v>
      </c>
      <c r="G1420" s="409" t="s">
        <v>68</v>
      </c>
      <c r="H1420" s="465">
        <v>0</v>
      </c>
      <c r="I1420" s="465">
        <v>0</v>
      </c>
      <c r="J1420" s="465">
        <v>568.46256000000005</v>
      </c>
      <c r="K1420" s="465">
        <v>0</v>
      </c>
      <c r="L1420" s="464" t="s">
        <v>539</v>
      </c>
      <c r="O1420">
        <v>0</v>
      </c>
      <c r="P1420" t="s">
        <v>9814</v>
      </c>
    </row>
    <row r="1421" spans="1:16" ht="14.4" x14ac:dyDescent="0.3">
      <c r="A1421">
        <v>462556</v>
      </c>
      <c r="B1421" t="str">
        <f t="shared" si="44"/>
        <v>SEVROLL 04490-M Blue-V spodné vedenie  2m oliva new</v>
      </c>
      <c r="C1421" s="185" t="e">
        <f t="shared" si="45"/>
        <v>#N/A</v>
      </c>
      <c r="D1421" s="409" t="s">
        <v>1396</v>
      </c>
      <c r="E1421" s="409" t="s">
        <v>1841</v>
      </c>
      <c r="F1421" s="409" t="s">
        <v>5854</v>
      </c>
      <c r="G1421" s="409" t="s">
        <v>2397</v>
      </c>
      <c r="H1421" s="465" t="e">
        <v>#N/A</v>
      </c>
      <c r="I1421" s="465" t="e">
        <v>#N/A</v>
      </c>
      <c r="J1421" s="465" t="e">
        <v>#N/A</v>
      </c>
      <c r="K1421" s="465" t="e">
        <v>#N/A</v>
      </c>
      <c r="L1421" s="464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str">
        <f t="shared" si="44"/>
        <v>SEVROLL 85615-A Lux III úchytová lišta 2,7m oliva new</v>
      </c>
      <c r="C1422" s="185" t="e">
        <f t="shared" si="45"/>
        <v>#N/A</v>
      </c>
      <c r="D1422" s="409" t="s">
        <v>1397</v>
      </c>
      <c r="E1422" s="409" t="s">
        <v>1842</v>
      </c>
      <c r="F1422" s="409" t="s">
        <v>1397</v>
      </c>
      <c r="G1422" s="409" t="s">
        <v>2398</v>
      </c>
      <c r="H1422" s="465" t="e">
        <v>#N/A</v>
      </c>
      <c r="I1422" s="465" t="e">
        <v>#N/A</v>
      </c>
      <c r="J1422" s="465" t="e">
        <v>#N/A</v>
      </c>
      <c r="K1422" s="465" t="e">
        <v>#N/A</v>
      </c>
      <c r="L1422" s="464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str">
        <f t="shared" si="44"/>
        <v>SEVROLL 00029-A 161 U PROFna DTD 18mm-3m, OLIVA new</v>
      </c>
      <c r="C1423" s="185" t="e">
        <f t="shared" si="45"/>
        <v>#N/A</v>
      </c>
      <c r="D1423" s="409" t="s">
        <v>1398</v>
      </c>
      <c r="E1423" s="409" t="s">
        <v>1843</v>
      </c>
      <c r="F1423" s="409" t="s">
        <v>2172</v>
      </c>
      <c r="G1423" s="409" t="s">
        <v>2399</v>
      </c>
      <c r="H1423" s="465" t="e">
        <v>#N/A</v>
      </c>
      <c r="I1423" s="465" t="e">
        <v>#N/A</v>
      </c>
      <c r="J1423" s="465" t="e">
        <v>#N/A</v>
      </c>
      <c r="K1423" s="465" t="e">
        <v>#N/A</v>
      </c>
      <c r="L1423" s="464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str">
        <f t="shared" si="44"/>
        <v>SEVROLL 00095-A uholník Mini 17x11mm 3m oliva new</v>
      </c>
      <c r="C1424" s="185" t="e">
        <f t="shared" si="45"/>
        <v>#N/A</v>
      </c>
      <c r="D1424" s="409" t="s">
        <v>5855</v>
      </c>
      <c r="E1424" s="409" t="s">
        <v>5856</v>
      </c>
      <c r="F1424" s="409" t="s">
        <v>5857</v>
      </c>
      <c r="G1424" s="409" t="s">
        <v>5858</v>
      </c>
      <c r="H1424" s="465" t="e">
        <v>#N/A</v>
      </c>
      <c r="I1424" s="465" t="e">
        <v>#N/A</v>
      </c>
      <c r="J1424" s="465" t="e">
        <v>#N/A</v>
      </c>
      <c r="K1424" s="465" t="e">
        <v>#N/A</v>
      </c>
      <c r="L1424" s="464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str">
        <f t="shared" si="44"/>
        <v>SEVROLL horná vodiaca lišta Simple/Blue 3m (pre lamino 10mm) oliva new</v>
      </c>
      <c r="C1425" s="185" t="e">
        <f t="shared" si="45"/>
        <v>#N/A</v>
      </c>
      <c r="D1425" s="409" t="s">
        <v>1399</v>
      </c>
      <c r="E1425" s="409" t="s">
        <v>1844</v>
      </c>
      <c r="F1425" s="409" t="s">
        <v>2173</v>
      </c>
      <c r="G1425" s="409" t="s">
        <v>2400</v>
      </c>
      <c r="H1425" s="465" t="e">
        <v>#N/A</v>
      </c>
      <c r="I1425" s="465" t="e">
        <v>#N/A</v>
      </c>
      <c r="J1425" s="465" t="e">
        <v>#N/A</v>
      </c>
      <c r="K1425" s="465" t="e">
        <v>#N/A</v>
      </c>
      <c r="L1425" s="464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str">
        <f t="shared" si="44"/>
        <v>SEVROLL 04571-A Focus II 18mm úchytová lišta 2,7m oliva new</v>
      </c>
      <c r="C1426" s="185" t="e">
        <f t="shared" si="45"/>
        <v>#N/A</v>
      </c>
      <c r="D1426" s="409" t="s">
        <v>1400</v>
      </c>
      <c r="E1426" s="409" t="s">
        <v>1845</v>
      </c>
      <c r="F1426" s="409" t="s">
        <v>1400</v>
      </c>
      <c r="G1426" s="409" t="s">
        <v>2401</v>
      </c>
      <c r="H1426" s="465" t="e">
        <v>#N/A</v>
      </c>
      <c r="I1426" s="465" t="e">
        <v>#N/A</v>
      </c>
      <c r="J1426" s="465" t="e">
        <v>#N/A</v>
      </c>
      <c r="K1426" s="465" t="e">
        <v>#N/A</v>
      </c>
      <c r="L1426" s="464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str">
        <f t="shared" si="44"/>
        <v>SEVROLL 04920-A Lynx úchytová lišta 2,7m oliva new</v>
      </c>
      <c r="C1427" s="185" t="e">
        <f t="shared" si="45"/>
        <v>#N/A</v>
      </c>
      <c r="D1427" s="409" t="s">
        <v>1401</v>
      </c>
      <c r="E1427" s="409" t="s">
        <v>1846</v>
      </c>
      <c r="F1427" s="409" t="s">
        <v>1401</v>
      </c>
      <c r="G1427" s="409" t="s">
        <v>2402</v>
      </c>
      <c r="H1427" s="465" t="e">
        <v>#N/A</v>
      </c>
      <c r="I1427" s="465" t="e">
        <v>#N/A</v>
      </c>
      <c r="J1427" s="465" t="e">
        <v>#N/A</v>
      </c>
      <c r="K1427" s="465" t="e">
        <v>#N/A</v>
      </c>
      <c r="L1427" s="464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str">
        <f t="shared" si="44"/>
        <v>SEVROLL 04296-A  maska Elegant II 1,7m oliva new</v>
      </c>
      <c r="C1428" s="185" t="e">
        <f t="shared" si="45"/>
        <v>#N/A</v>
      </c>
      <c r="D1428" s="409" t="s">
        <v>1402</v>
      </c>
      <c r="E1428" s="409" t="s">
        <v>1847</v>
      </c>
      <c r="F1428" s="409" t="s">
        <v>1402</v>
      </c>
      <c r="G1428" s="409" t="s">
        <v>2403</v>
      </c>
      <c r="H1428" s="465" t="e">
        <v>#N/A</v>
      </c>
      <c r="I1428" s="465" t="e">
        <v>#N/A</v>
      </c>
      <c r="J1428" s="465" t="e">
        <v>#N/A</v>
      </c>
      <c r="K1428" s="465" t="e">
        <v>#N/A</v>
      </c>
      <c r="L1428" s="464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sada kovania 80kg (H80)</v>
      </c>
      <c r="C1429" s="185">
        <f t="shared" si="45"/>
        <v>24.321770000000001</v>
      </c>
      <c r="D1429" s="409" t="s">
        <v>7466</v>
      </c>
      <c r="E1429" s="409" t="s">
        <v>7467</v>
      </c>
      <c r="F1429" s="409" t="s">
        <v>7468</v>
      </c>
      <c r="G1429" s="409" t="s">
        <v>7469</v>
      </c>
      <c r="H1429" s="465">
        <v>595.50400000000002</v>
      </c>
      <c r="I1429" s="465">
        <v>24.321770000000001</v>
      </c>
      <c r="J1429" s="465">
        <v>110.13785</v>
      </c>
      <c r="K1429" s="465">
        <v>10325.27096</v>
      </c>
      <c r="L1429" s="464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9" t="e">
        <v>#N/A</v>
      </c>
      <c r="E1430" s="409" t="e">
        <v>#N/A</v>
      </c>
      <c r="F1430" s="409" t="e">
        <v>#N/A</v>
      </c>
      <c r="G1430" s="409" t="e">
        <v>#N/A</v>
      </c>
      <c r="H1430" s="465" t="e">
        <v>#N/A</v>
      </c>
      <c r="I1430" s="465" t="e">
        <v>#N/A</v>
      </c>
      <c r="J1430" s="465" t="e">
        <v>#N/A</v>
      </c>
      <c r="K1430" s="465" t="e">
        <v>#N/A</v>
      </c>
      <c r="L1430" s="464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 S40/80 2m-oceľ</v>
      </c>
      <c r="C1431" s="185">
        <f t="shared" si="45"/>
        <v>19.71358</v>
      </c>
      <c r="D1431" s="409" t="s">
        <v>7470</v>
      </c>
      <c r="E1431" s="409" t="s">
        <v>7471</v>
      </c>
      <c r="F1431" s="409" t="s">
        <v>7472</v>
      </c>
      <c r="G1431" s="409" t="s">
        <v>7473</v>
      </c>
      <c r="H1431" s="465">
        <v>516.69150000000002</v>
      </c>
      <c r="I1431" s="465">
        <v>19.71358</v>
      </c>
      <c r="J1431" s="465">
        <v>98.7059</v>
      </c>
      <c r="K1431" s="465">
        <v>9511.4272700000001</v>
      </c>
      <c r="L1431" s="464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 S40/80 3m oceľ</v>
      </c>
      <c r="C1432" s="185">
        <f t="shared" si="45"/>
        <v>29.569990000000001</v>
      </c>
      <c r="D1432" s="409" t="s">
        <v>7474</v>
      </c>
      <c r="E1432" s="409" t="s">
        <v>7475</v>
      </c>
      <c r="F1432" s="409" t="s">
        <v>7476</v>
      </c>
      <c r="G1432" s="409" t="s">
        <v>7477</v>
      </c>
      <c r="H1432" s="465">
        <v>775.02750000000003</v>
      </c>
      <c r="I1432" s="465">
        <v>29.569990000000001</v>
      </c>
      <c r="J1432" s="465">
        <v>148.05699000000001</v>
      </c>
      <c r="K1432" s="465">
        <v>14266.96142</v>
      </c>
      <c r="L1432" s="464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 - aretačná brzda S40/S40H/S80</v>
      </c>
      <c r="C1433" s="185">
        <f t="shared" si="45"/>
        <v>1.9623900000000001</v>
      </c>
      <c r="D1433" s="409" t="s">
        <v>7478</v>
      </c>
      <c r="E1433" s="409" t="s">
        <v>7479</v>
      </c>
      <c r="F1433" s="409" t="s">
        <v>7480</v>
      </c>
      <c r="G1433" s="409" t="s">
        <v>7481</v>
      </c>
      <c r="H1433" s="465">
        <v>48.048000000000002</v>
      </c>
      <c r="I1433" s="465">
        <v>1.9623900000000001</v>
      </c>
      <c r="J1433" s="465">
        <v>8.8864199999999993</v>
      </c>
      <c r="K1433" s="465">
        <v>833.09032000000002</v>
      </c>
      <c r="L1433" s="464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 sada kovania</v>
      </c>
      <c r="C1434" s="185">
        <f t="shared" si="45"/>
        <v>19.921240000000001</v>
      </c>
      <c r="D1434" s="409" t="s">
        <v>7482</v>
      </c>
      <c r="E1434" s="409" t="s">
        <v>7483</v>
      </c>
      <c r="F1434" s="409" t="s">
        <v>7484</v>
      </c>
      <c r="G1434" s="409" t="s">
        <v>7485</v>
      </c>
      <c r="H1434" s="465">
        <v>487.76</v>
      </c>
      <c r="I1434" s="465">
        <v>19.921240000000001</v>
      </c>
      <c r="J1434" s="465">
        <v>90.210719999999995</v>
      </c>
      <c r="K1434" s="465">
        <v>8457.1290399999998</v>
      </c>
      <c r="L1434" s="464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lišta spodná elox alu 3m</v>
      </c>
      <c r="C1435" s="185">
        <f t="shared" si="45"/>
        <v>0</v>
      </c>
      <c r="D1435" s="409" t="s">
        <v>7486</v>
      </c>
      <c r="E1435" s="409" t="s">
        <v>7487</v>
      </c>
      <c r="F1435" s="409" t="s">
        <v>7488</v>
      </c>
      <c r="G1435" s="409" t="s">
        <v>7489</v>
      </c>
      <c r="H1435" s="465">
        <v>0</v>
      </c>
      <c r="I1435" s="465">
        <v>0</v>
      </c>
      <c r="J1435" s="465">
        <v>0</v>
      </c>
      <c r="K1435" s="465">
        <v>0</v>
      </c>
      <c r="L1435" s="464" t="s">
        <v>540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S-S60H-SADA KOVANIA (H60)</v>
      </c>
      <c r="C1436" s="185">
        <f t="shared" si="45"/>
        <v>19.32658</v>
      </c>
      <c r="D1436" s="409" t="s">
        <v>7490</v>
      </c>
      <c r="E1436" s="409" t="s">
        <v>7491</v>
      </c>
      <c r="F1436" s="409" t="s">
        <v>7492</v>
      </c>
      <c r="G1436" s="409" t="s">
        <v>7493</v>
      </c>
      <c r="H1436" s="465">
        <v>473.2</v>
      </c>
      <c r="I1436" s="465">
        <v>19.32658</v>
      </c>
      <c r="J1436" s="465">
        <v>87.517849999999996</v>
      </c>
      <c r="K1436" s="465">
        <v>8204.6774100000002</v>
      </c>
      <c r="L1436" s="464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úchytový profil alu elox 2,7m</v>
      </c>
      <c r="C1437" s="185">
        <f t="shared" si="45"/>
        <v>15.818059999999999</v>
      </c>
      <c r="D1437" s="409" t="s">
        <v>7494</v>
      </c>
      <c r="E1437" s="409" t="s">
        <v>7495</v>
      </c>
      <c r="F1437" s="409" t="s">
        <v>7494</v>
      </c>
      <c r="G1437" s="409" t="s">
        <v>7496</v>
      </c>
      <c r="H1437" s="465">
        <v>387.29599999999999</v>
      </c>
      <c r="I1437" s="465">
        <v>15.818059999999999</v>
      </c>
      <c r="J1437" s="465">
        <v>71.629990000000006</v>
      </c>
      <c r="K1437" s="465">
        <v>6715.2129100000002</v>
      </c>
      <c r="L1437" s="464" t="s">
        <v>537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vod.prof.alu elox 1,25m</v>
      </c>
      <c r="C1438" s="185">
        <f t="shared" si="45"/>
        <v>0</v>
      </c>
      <c r="D1438" s="409" t="s">
        <v>7497</v>
      </c>
      <c r="E1438" s="409" t="s">
        <v>7498</v>
      </c>
      <c r="F1438" s="409" t="s">
        <v>7499</v>
      </c>
      <c r="G1438" s="409" t="s">
        <v>7500</v>
      </c>
      <c r="H1438" s="465">
        <v>0</v>
      </c>
      <c r="I1438" s="465">
        <v>0</v>
      </c>
      <c r="J1438" s="465">
        <v>0</v>
      </c>
      <c r="K1438" s="465">
        <v>0</v>
      </c>
      <c r="L1438" s="464" t="s">
        <v>540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sada kovania 1 krídlo</v>
      </c>
      <c r="C1439" s="185">
        <f t="shared" si="45"/>
        <v>16.23432</v>
      </c>
      <c r="D1439" s="409" t="s">
        <v>7501</v>
      </c>
      <c r="E1439" s="409" t="s">
        <v>7502</v>
      </c>
      <c r="F1439" s="409" t="s">
        <v>7503</v>
      </c>
      <c r="G1439" s="409" t="s">
        <v>7504</v>
      </c>
      <c r="H1439" s="465">
        <v>397.488</v>
      </c>
      <c r="I1439" s="465">
        <v>16.23432</v>
      </c>
      <c r="J1439" s="465">
        <v>73.515000000000001</v>
      </c>
      <c r="K1439" s="465">
        <v>6891.92904</v>
      </c>
      <c r="L1439" s="464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lišta horná zafrézovacia alu surová 3m</v>
      </c>
      <c r="C1440" s="185">
        <f t="shared" si="45"/>
        <v>25.920940000000002</v>
      </c>
      <c r="D1440" s="409" t="s">
        <v>7505</v>
      </c>
      <c r="E1440" s="409" t="s">
        <v>7506</v>
      </c>
      <c r="F1440" s="409" t="s">
        <v>7507</v>
      </c>
      <c r="G1440" s="409" t="s">
        <v>7508</v>
      </c>
      <c r="H1440" s="465">
        <v>419.32799999999997</v>
      </c>
      <c r="I1440" s="465">
        <v>25.920940000000002</v>
      </c>
      <c r="J1440" s="465">
        <v>139.24695</v>
      </c>
      <c r="K1440" s="465">
        <v>5072.51613</v>
      </c>
      <c r="L1440" s="464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lišta horná zafrézovacia alu surová 2m</v>
      </c>
      <c r="C1441" s="185">
        <f t="shared" si="45"/>
        <v>17.28059</v>
      </c>
      <c r="D1441" s="409" t="s">
        <v>7509</v>
      </c>
      <c r="E1441" s="409" t="s">
        <v>7510</v>
      </c>
      <c r="F1441" s="409" t="s">
        <v>7511</v>
      </c>
      <c r="G1441" s="409" t="s">
        <v>7512</v>
      </c>
      <c r="H1441" s="465">
        <v>279.55200000000002</v>
      </c>
      <c r="I1441" s="465">
        <v>17.28059</v>
      </c>
      <c r="J1441" s="465">
        <v>92.683340000000001</v>
      </c>
      <c r="K1441" s="465">
        <v>3381.6774300000002</v>
      </c>
      <c r="L1441" s="464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vodiaci profil alu elox 3m</v>
      </c>
      <c r="C1442" s="185">
        <f t="shared" si="45"/>
        <v>8.1798099999999998</v>
      </c>
      <c r="D1442" s="409" t="s">
        <v>7513</v>
      </c>
      <c r="E1442" s="409" t="s">
        <v>7514</v>
      </c>
      <c r="F1442" s="409" t="s">
        <v>7515</v>
      </c>
      <c r="G1442" s="409" t="s">
        <v>7516</v>
      </c>
      <c r="H1442" s="465">
        <v>214.39205000000001</v>
      </c>
      <c r="I1442" s="465">
        <v>8.1798099999999998</v>
      </c>
      <c r="J1442" s="465">
        <v>40.95628</v>
      </c>
      <c r="K1442" s="465">
        <v>3946.5994300000002</v>
      </c>
      <c r="L1442" s="464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vodiaci profil alu elox 2m</v>
      </c>
      <c r="C1443" s="185">
        <f t="shared" si="45"/>
        <v>5.4532600000000002</v>
      </c>
      <c r="D1443" s="409" t="s">
        <v>7517</v>
      </c>
      <c r="E1443" s="409" t="s">
        <v>7518</v>
      </c>
      <c r="F1443" s="409" t="s">
        <v>7519</v>
      </c>
      <c r="G1443" s="409" t="s">
        <v>7520</v>
      </c>
      <c r="H1443" s="465">
        <v>142.92941999999999</v>
      </c>
      <c r="I1443" s="465">
        <v>5.4532600000000002</v>
      </c>
      <c r="J1443" s="465">
        <v>27.304449999999999</v>
      </c>
      <c r="K1443" s="465">
        <v>2631.0918900000001</v>
      </c>
      <c r="L1443" s="464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 sada kovania pre alu dvierka 25 kg</v>
      </c>
      <c r="C1444" s="185">
        <f t="shared" si="45"/>
        <v>17.30472</v>
      </c>
      <c r="D1444" s="409" t="s">
        <v>7521</v>
      </c>
      <c r="E1444" s="409" t="s">
        <v>7522</v>
      </c>
      <c r="F1444" s="409" t="s">
        <v>7523</v>
      </c>
      <c r="G1444" s="409" t="s">
        <v>7524</v>
      </c>
      <c r="H1444" s="465">
        <v>423.69600000000003</v>
      </c>
      <c r="I1444" s="465">
        <v>17.30472</v>
      </c>
      <c r="J1444" s="465">
        <v>78.362129999999993</v>
      </c>
      <c r="K1444" s="465">
        <v>7346.3419400000002</v>
      </c>
      <c r="L1444" s="464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 sada kovania pre alu dvierka 35 kg</v>
      </c>
      <c r="C1445" s="185">
        <f t="shared" si="45"/>
        <v>18.137250000000002</v>
      </c>
      <c r="D1445" s="409" t="s">
        <v>7525</v>
      </c>
      <c r="E1445" s="409" t="s">
        <v>7526</v>
      </c>
      <c r="F1445" s="409" t="s">
        <v>7527</v>
      </c>
      <c r="G1445" s="409" t="s">
        <v>7528</v>
      </c>
      <c r="H1445" s="465">
        <v>444.08</v>
      </c>
      <c r="I1445" s="465">
        <v>18.137250000000002</v>
      </c>
      <c r="J1445" s="465">
        <v>82.132149999999996</v>
      </c>
      <c r="K1445" s="465">
        <v>7699.7741900000001</v>
      </c>
      <c r="L1445" s="464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sada kovania (H40HARD)</v>
      </c>
      <c r="C1446" s="185">
        <f t="shared" si="45"/>
        <v>21.88363</v>
      </c>
      <c r="D1446" s="409" t="s">
        <v>7529</v>
      </c>
      <c r="E1446" s="409" t="s">
        <v>7530</v>
      </c>
      <c r="F1446" s="409" t="s">
        <v>7531</v>
      </c>
      <c r="G1446" s="409" t="s">
        <v>7532</v>
      </c>
      <c r="H1446" s="465">
        <v>535.80799999999999</v>
      </c>
      <c r="I1446" s="465">
        <v>21.88363</v>
      </c>
      <c r="J1446" s="465">
        <v>99.097149999999999</v>
      </c>
      <c r="K1446" s="465">
        <v>9290.2193599999991</v>
      </c>
      <c r="L1446" s="464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S-S20/30-vodítko čierne/hnedé</v>
      </c>
      <c r="C1447" s="185">
        <f t="shared" si="45"/>
        <v>0.41626999999999997</v>
      </c>
      <c r="D1447" s="409" t="s">
        <v>7533</v>
      </c>
      <c r="E1447" s="409" t="s">
        <v>7534</v>
      </c>
      <c r="F1447" s="409" t="s">
        <v>7535</v>
      </c>
      <c r="G1447" s="409" t="s">
        <v>7536</v>
      </c>
      <c r="H1447" s="465">
        <v>10.192</v>
      </c>
      <c r="I1447" s="465">
        <v>0.41626999999999997</v>
      </c>
      <c r="J1447" s="465">
        <v>1.8850100000000001</v>
      </c>
      <c r="K1447" s="465">
        <v>176.71612999999999</v>
      </c>
      <c r="L1447" s="464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 - S40/80 - vodítko</v>
      </c>
      <c r="C1448" s="185">
        <f t="shared" si="45"/>
        <v>0.32767000000000002</v>
      </c>
      <c r="D1448" s="409" t="s">
        <v>7537</v>
      </c>
      <c r="E1448" s="409" t="s">
        <v>7538</v>
      </c>
      <c r="F1448" s="409" t="s">
        <v>7539</v>
      </c>
      <c r="G1448" s="409" t="s">
        <v>7540</v>
      </c>
      <c r="H1448" s="465">
        <v>8.0232799999999997</v>
      </c>
      <c r="I1448" s="465">
        <v>0.32767000000000002</v>
      </c>
      <c r="J1448" s="465">
        <v>1.4838899999999999</v>
      </c>
      <c r="K1448" s="465">
        <v>138.46450999999999</v>
      </c>
      <c r="L1448" s="464" t="s">
        <v>540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S-brzda S36 (H60) súčasť sady S36</v>
      </c>
      <c r="C1449" s="185">
        <f t="shared" si="45"/>
        <v>0.77305999999999997</v>
      </c>
      <c r="D1449" s="409" t="s">
        <v>7541</v>
      </c>
      <c r="E1449" s="409" t="s">
        <v>7542</v>
      </c>
      <c r="F1449" s="409" t="s">
        <v>7543</v>
      </c>
      <c r="G1449" s="409" t="s">
        <v>7544</v>
      </c>
      <c r="H1449" s="465">
        <v>18.928000000000001</v>
      </c>
      <c r="I1449" s="465">
        <v>0.77305999999999997</v>
      </c>
      <c r="J1449" s="465">
        <v>3.5007199999999998</v>
      </c>
      <c r="K1449" s="465">
        <v>332.31434999999999</v>
      </c>
      <c r="L1449" s="464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príchytka stenová (H40/80)</v>
      </c>
      <c r="C1450" s="185">
        <f t="shared" si="45"/>
        <v>1.84345</v>
      </c>
      <c r="D1450" s="409" t="s">
        <v>7545</v>
      </c>
      <c r="E1450" s="409" t="s">
        <v>7546</v>
      </c>
      <c r="F1450" s="409" t="s">
        <v>7547</v>
      </c>
      <c r="G1450" s="409" t="s">
        <v>7548</v>
      </c>
      <c r="H1450" s="465">
        <v>45.136000000000003</v>
      </c>
      <c r="I1450" s="465">
        <v>1.84345</v>
      </c>
      <c r="J1450" s="465">
        <v>8.3478499999999993</v>
      </c>
      <c r="K1450" s="465">
        <v>782.6</v>
      </c>
      <c r="L1450" s="464" t="s">
        <v>537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horná lišta alu elox 2m</v>
      </c>
      <c r="C1451" s="185">
        <f t="shared" si="45"/>
        <v>0</v>
      </c>
      <c r="D1451" s="409" t="s">
        <v>7549</v>
      </c>
      <c r="E1451" s="409" t="s">
        <v>7550</v>
      </c>
      <c r="F1451" s="409" t="s">
        <v>7551</v>
      </c>
      <c r="G1451" s="409" t="s">
        <v>7552</v>
      </c>
      <c r="H1451" s="465">
        <v>0</v>
      </c>
      <c r="I1451" s="465">
        <v>0</v>
      </c>
      <c r="J1451" s="465">
        <v>0</v>
      </c>
      <c r="K1451" s="465">
        <v>0</v>
      </c>
      <c r="L1451" s="464" t="s">
        <v>540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S-S25- horná lišta alu elox 3m</v>
      </c>
      <c r="C1452" s="185">
        <f t="shared" si="45"/>
        <v>0</v>
      </c>
      <c r="D1452" s="409" t="s">
        <v>7553</v>
      </c>
      <c r="E1452" s="409" t="s">
        <v>7554</v>
      </c>
      <c r="F1452" s="409" t="s">
        <v>7555</v>
      </c>
      <c r="G1452" s="409" t="s">
        <v>7556</v>
      </c>
      <c r="H1452" s="465">
        <v>0</v>
      </c>
      <c r="I1452" s="465">
        <v>0</v>
      </c>
      <c r="J1452" s="465">
        <v>0</v>
      </c>
      <c r="K1452" s="465">
        <v>0</v>
      </c>
      <c r="L1452" s="464" t="s">
        <v>540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horná lišta alu surová 2m</v>
      </c>
      <c r="C1453" s="185">
        <f t="shared" si="45"/>
        <v>0</v>
      </c>
      <c r="D1453" s="409" t="s">
        <v>7557</v>
      </c>
      <c r="E1453" s="409" t="s">
        <v>7558</v>
      </c>
      <c r="F1453" s="409" t="s">
        <v>7559</v>
      </c>
      <c r="G1453" s="409" t="s">
        <v>7560</v>
      </c>
      <c r="H1453" s="465">
        <v>0</v>
      </c>
      <c r="I1453" s="465">
        <v>0</v>
      </c>
      <c r="J1453" s="465">
        <v>0</v>
      </c>
      <c r="K1453" s="465">
        <v>0</v>
      </c>
      <c r="L1453" s="464" t="s">
        <v>540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vod.prof.alu elox 2,5m</v>
      </c>
      <c r="C1454" s="185">
        <f t="shared" si="45"/>
        <v>0</v>
      </c>
      <c r="D1454" s="409" t="s">
        <v>7561</v>
      </c>
      <c r="E1454" s="409" t="s">
        <v>7562</v>
      </c>
      <c r="F1454" s="409" t="s">
        <v>7563</v>
      </c>
      <c r="G1454" s="409" t="s">
        <v>7564</v>
      </c>
      <c r="H1454" s="465">
        <v>0</v>
      </c>
      <c r="I1454" s="465">
        <v>0</v>
      </c>
      <c r="J1454" s="465">
        <v>0</v>
      </c>
      <c r="K1454" s="465">
        <v>0</v>
      </c>
      <c r="L1454" s="464" t="s">
        <v>540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9" t="e">
        <v>#N/A</v>
      </c>
      <c r="E1455" s="409" t="e">
        <v>#N/A</v>
      </c>
      <c r="F1455" s="409" t="e">
        <v>#N/A</v>
      </c>
      <c r="G1455" s="409" t="e">
        <v>#N/A</v>
      </c>
      <c r="H1455" s="465" t="e">
        <v>#N/A</v>
      </c>
      <c r="I1455" s="465" t="e">
        <v>#N/A</v>
      </c>
      <c r="J1455" s="465" t="e">
        <v>#N/A</v>
      </c>
      <c r="K1455" s="465" t="e">
        <v>#N/A</v>
      </c>
      <c r="L1455" s="464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9" t="e">
        <v>#N/A</v>
      </c>
      <c r="E1456" s="409" t="e">
        <v>#N/A</v>
      </c>
      <c r="F1456" s="409" t="e">
        <v>#N/A</v>
      </c>
      <c r="G1456" s="409" t="e">
        <v>#N/A</v>
      </c>
      <c r="H1456" s="465" t="e">
        <v>#N/A</v>
      </c>
      <c r="I1456" s="465" t="e">
        <v>#N/A</v>
      </c>
      <c r="J1456" s="465" t="e">
        <v>#N/A</v>
      </c>
      <c r="K1456" s="465" t="e">
        <v>#N/A</v>
      </c>
      <c r="L1456" s="464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9" t="e">
        <v>#N/A</v>
      </c>
      <c r="E1457" s="409" t="e">
        <v>#N/A</v>
      </c>
      <c r="F1457" s="409" t="e">
        <v>#N/A</v>
      </c>
      <c r="G1457" s="409" t="e">
        <v>#N/A</v>
      </c>
      <c r="H1457" s="465" t="e">
        <v>#N/A</v>
      </c>
      <c r="I1457" s="465" t="e">
        <v>#N/A</v>
      </c>
      <c r="J1457" s="465" t="e">
        <v>#N/A</v>
      </c>
      <c r="K1457" s="465" t="e">
        <v>#N/A</v>
      </c>
      <c r="L1457" s="464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9" t="e">
        <v>#N/A</v>
      </c>
      <c r="E1458" s="409" t="e">
        <v>#N/A</v>
      </c>
      <c r="F1458" s="409" t="e">
        <v>#N/A</v>
      </c>
      <c r="G1458" s="409" t="e">
        <v>#N/A</v>
      </c>
      <c r="H1458" s="465" t="e">
        <v>#N/A</v>
      </c>
      <c r="I1458" s="465" t="e">
        <v>#N/A</v>
      </c>
      <c r="J1458" s="465" t="e">
        <v>#N/A</v>
      </c>
      <c r="K1458" s="465" t="e">
        <v>#N/A</v>
      </c>
      <c r="L1458" s="464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držiak horného vedenia pre lamino 16 - 25mm</v>
      </c>
      <c r="C1459" s="185">
        <f t="shared" si="45"/>
        <v>2.3420299999999998</v>
      </c>
      <c r="D1459" s="409" t="s">
        <v>1403</v>
      </c>
      <c r="E1459" s="409" t="s">
        <v>1848</v>
      </c>
      <c r="F1459" s="409" t="s">
        <v>5859</v>
      </c>
      <c r="G1459" s="409" t="s">
        <v>5860</v>
      </c>
      <c r="H1459" s="465">
        <v>62.091329999999999</v>
      </c>
      <c r="I1459" s="465">
        <v>2.3420299999999998</v>
      </c>
      <c r="J1459" s="465">
        <v>7.9903700000000004</v>
      </c>
      <c r="K1459" s="465">
        <v>906.99446</v>
      </c>
      <c r="L1459" s="464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str">
        <f t="shared" si="44"/>
        <v>SEVROLL 214-694 krycia lišta Herkules II 1,8m strieborná</v>
      </c>
      <c r="C1460" s="185" t="e">
        <f t="shared" si="45"/>
        <v>#N/A</v>
      </c>
      <c r="D1460" s="409" t="s">
        <v>1404</v>
      </c>
      <c r="E1460" s="409" t="s">
        <v>1849</v>
      </c>
      <c r="F1460" s="409" t="s">
        <v>5861</v>
      </c>
      <c r="G1460" s="409" t="s">
        <v>5862</v>
      </c>
      <c r="H1460" s="465" t="e">
        <v>#N/A</v>
      </c>
      <c r="I1460" s="465" t="e">
        <v>#N/A</v>
      </c>
      <c r="J1460" s="465" t="e">
        <v>#N/A</v>
      </c>
      <c r="K1460" s="465" t="e">
        <v>#N/A</v>
      </c>
      <c r="L1460" s="464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9" t="e">
        <v>#N/A</v>
      </c>
      <c r="E1461" s="409" t="e">
        <v>#N/A</v>
      </c>
      <c r="F1461" s="409" t="e">
        <v>#N/A</v>
      </c>
      <c r="G1461" s="409" t="e">
        <v>#N/A</v>
      </c>
      <c r="H1461" s="465" t="e">
        <v>#N/A</v>
      </c>
      <c r="I1461" s="465" t="e">
        <v>#N/A</v>
      </c>
      <c r="J1461" s="465" t="e">
        <v>#N/A</v>
      </c>
      <c r="K1461" s="465" t="e">
        <v>#N/A</v>
      </c>
      <c r="L1461" s="464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9" t="e">
        <v>#N/A</v>
      </c>
      <c r="E1462" s="409" t="e">
        <v>#N/A</v>
      </c>
      <c r="F1462" s="409" t="e">
        <v>#N/A</v>
      </c>
      <c r="G1462" s="409" t="e">
        <v>#N/A</v>
      </c>
      <c r="H1462" s="465" t="e">
        <v>#N/A</v>
      </c>
      <c r="I1462" s="465" t="e">
        <v>#N/A</v>
      </c>
      <c r="J1462" s="465" t="e">
        <v>#N/A</v>
      </c>
      <c r="K1462" s="465" t="e">
        <v>#N/A</v>
      </c>
      <c r="L1462" s="464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9" t="e">
        <v>#N/A</v>
      </c>
      <c r="E1463" s="409" t="e">
        <v>#N/A</v>
      </c>
      <c r="F1463" s="409" t="e">
        <v>#N/A</v>
      </c>
      <c r="G1463" s="409" t="e">
        <v>#N/A</v>
      </c>
      <c r="H1463" s="465" t="e">
        <v>#N/A</v>
      </c>
      <c r="I1463" s="465" t="e">
        <v>#N/A</v>
      </c>
      <c r="J1463" s="465" t="e">
        <v>#N/A</v>
      </c>
      <c r="K1463" s="465" t="e">
        <v>#N/A</v>
      </c>
      <c r="L1463" s="464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9" t="e">
        <v>#N/A</v>
      </c>
      <c r="E1464" s="409" t="e">
        <v>#N/A</v>
      </c>
      <c r="F1464" s="409" t="e">
        <v>#N/A</v>
      </c>
      <c r="G1464" s="409" t="e">
        <v>#N/A</v>
      </c>
      <c r="H1464" s="465" t="e">
        <v>#N/A</v>
      </c>
      <c r="I1464" s="465" t="e">
        <v>#N/A</v>
      </c>
      <c r="J1464" s="465" t="e">
        <v>#N/A</v>
      </c>
      <c r="K1464" s="465" t="e">
        <v>#N/A</v>
      </c>
      <c r="L1464" s="464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9" t="e">
        <v>#N/A</v>
      </c>
      <c r="E1465" s="409" t="e">
        <v>#N/A</v>
      </c>
      <c r="F1465" s="409" t="e">
        <v>#N/A</v>
      </c>
      <c r="G1465" s="409" t="e">
        <v>#N/A</v>
      </c>
      <c r="H1465" s="465" t="e">
        <v>#N/A</v>
      </c>
      <c r="I1465" s="465" t="e">
        <v>#N/A</v>
      </c>
      <c r="J1465" s="465" t="e">
        <v>#N/A</v>
      </c>
      <c r="K1465" s="465" t="e">
        <v>#N/A</v>
      </c>
      <c r="L1465" s="464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9" t="e">
        <v>#N/A</v>
      </c>
      <c r="E1466" s="409" t="e">
        <v>#N/A</v>
      </c>
      <c r="F1466" s="409" t="e">
        <v>#N/A</v>
      </c>
      <c r="G1466" s="409" t="e">
        <v>#N/A</v>
      </c>
      <c r="H1466" s="465" t="e">
        <v>#N/A</v>
      </c>
      <c r="I1466" s="465" t="e">
        <v>#N/A</v>
      </c>
      <c r="J1466" s="465" t="e">
        <v>#N/A</v>
      </c>
      <c r="K1466" s="465" t="e">
        <v>#N/A</v>
      </c>
      <c r="L1466" s="464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S-S20-sada kovania 1 krídlo 20 kg</v>
      </c>
      <c r="C1467" s="185">
        <f t="shared" si="45"/>
        <v>6.9575699999999996</v>
      </c>
      <c r="D1467" s="409" t="s">
        <v>7565</v>
      </c>
      <c r="E1467" s="409" t="s">
        <v>7566</v>
      </c>
      <c r="F1467" s="409" t="s">
        <v>7567</v>
      </c>
      <c r="G1467" s="409" t="s">
        <v>7568</v>
      </c>
      <c r="H1467" s="465">
        <v>170.352</v>
      </c>
      <c r="I1467" s="465">
        <v>6.9575699999999996</v>
      </c>
      <c r="J1467" s="465">
        <v>31.506419999999999</v>
      </c>
      <c r="K1467" s="465">
        <v>2953.6838699999998</v>
      </c>
      <c r="L1467" s="464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 sada kovania 1 krídlo 30kg</v>
      </c>
      <c r="C1468" s="185">
        <f t="shared" si="45"/>
        <v>10.168749999999999</v>
      </c>
      <c r="D1468" s="409" t="s">
        <v>7569</v>
      </c>
      <c r="E1468" s="409" t="s">
        <v>7570</v>
      </c>
      <c r="F1468" s="409" t="s">
        <v>7571</v>
      </c>
      <c r="G1468" s="409" t="s">
        <v>7572</v>
      </c>
      <c r="H1468" s="465">
        <v>248.976</v>
      </c>
      <c r="I1468" s="465">
        <v>10.168749999999999</v>
      </c>
      <c r="J1468" s="465">
        <v>46.047870000000003</v>
      </c>
      <c r="K1468" s="465">
        <v>4316.9225900000001</v>
      </c>
      <c r="L1468" s="464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HH-H20/30-LIŠTA JEDNOD. OCEĽ (S20/30) 2m</v>
      </c>
      <c r="C1469" s="185">
        <f t="shared" si="45"/>
        <v>15.5802</v>
      </c>
      <c r="D1469" s="409" t="s">
        <v>7573</v>
      </c>
      <c r="E1469" s="409" t="s">
        <v>7574</v>
      </c>
      <c r="F1469" s="409" t="s">
        <v>7575</v>
      </c>
      <c r="G1469" s="409" t="s">
        <v>7576</v>
      </c>
      <c r="H1469" s="465">
        <v>381.47199999999998</v>
      </c>
      <c r="I1469" s="465">
        <v>15.5802</v>
      </c>
      <c r="J1469" s="465">
        <v>70.552850000000007</v>
      </c>
      <c r="K1469" s="465">
        <v>6784.38976</v>
      </c>
      <c r="L1469" s="464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S-S20/30-lišta jednoduchá oceľ 3m</v>
      </c>
      <c r="C1470" s="185">
        <f t="shared" si="45"/>
        <v>23.370290000000001</v>
      </c>
      <c r="D1470" s="409" t="s">
        <v>7577</v>
      </c>
      <c r="E1470" s="409" t="s">
        <v>7578</v>
      </c>
      <c r="F1470" s="409" t="s">
        <v>7579</v>
      </c>
      <c r="G1470" s="409" t="s">
        <v>7580</v>
      </c>
      <c r="H1470" s="465">
        <v>572.20799999999997</v>
      </c>
      <c r="I1470" s="465">
        <v>23.370290000000001</v>
      </c>
      <c r="J1470" s="465">
        <v>105.82929</v>
      </c>
      <c r="K1470" s="465">
        <v>10177.53442</v>
      </c>
      <c r="L1470" s="464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HH-H20/30 (S30) -ALU LIŠTA DVOJITÁ 2m</v>
      </c>
      <c r="C1471" s="185">
        <f t="shared" si="45"/>
        <v>27.35454</v>
      </c>
      <c r="D1471" s="409" t="s">
        <v>7581</v>
      </c>
      <c r="E1471" s="409" t="s">
        <v>7582</v>
      </c>
      <c r="F1471" s="409" t="s">
        <v>7583</v>
      </c>
      <c r="G1471" s="409" t="s">
        <v>7584</v>
      </c>
      <c r="H1471" s="465">
        <v>677.04</v>
      </c>
      <c r="I1471" s="465">
        <v>27.35454</v>
      </c>
      <c r="J1471" s="465">
        <v>129.33797999999999</v>
      </c>
      <c r="K1471" s="465">
        <v>12463.17526</v>
      </c>
      <c r="L1471" s="464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HH-H20/30 (S30) -ALU LIŠTA DVOJITÁ 3m</v>
      </c>
      <c r="C1472" s="185">
        <f t="shared" si="45"/>
        <v>41.031820000000003</v>
      </c>
      <c r="D1472" s="409" t="s">
        <v>7585</v>
      </c>
      <c r="E1472" s="409" t="s">
        <v>7586</v>
      </c>
      <c r="F1472" s="409" t="s">
        <v>7587</v>
      </c>
      <c r="G1472" s="409" t="s">
        <v>7588</v>
      </c>
      <c r="H1472" s="465">
        <v>1015.56</v>
      </c>
      <c r="I1472" s="465">
        <v>41.031820000000003</v>
      </c>
      <c r="J1472" s="465">
        <v>194.00698</v>
      </c>
      <c r="K1472" s="465">
        <v>18694.762879999998</v>
      </c>
      <c r="L1472" s="464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HH-H20/30 (S30) -BRZDA PLASTOVÁ</v>
      </c>
      <c r="C1473" s="185">
        <f t="shared" si="45"/>
        <v>0.47572999999999999</v>
      </c>
      <c r="D1473" s="409" t="s">
        <v>7589</v>
      </c>
      <c r="E1473" s="409" t="s">
        <v>7590</v>
      </c>
      <c r="F1473" s="409" t="s">
        <v>7591</v>
      </c>
      <c r="G1473" s="409" t="s">
        <v>7592</v>
      </c>
      <c r="H1473" s="465">
        <v>11.648</v>
      </c>
      <c r="I1473" s="465">
        <v>0.47572999999999999</v>
      </c>
      <c r="J1473" s="465">
        <v>2.15428</v>
      </c>
      <c r="K1473" s="465">
        <v>201.96127999999999</v>
      </c>
      <c r="L1473" s="464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S-S20/30 - doraz + 2x skrutka</v>
      </c>
      <c r="C1474" s="185">
        <f t="shared" si="45"/>
        <v>1.18933</v>
      </c>
      <c r="D1474" s="409" t="s">
        <v>7593</v>
      </c>
      <c r="E1474" s="409" t="s">
        <v>7594</v>
      </c>
      <c r="F1474" s="409" t="s">
        <v>7595</v>
      </c>
      <c r="G1474" s="409" t="s">
        <v>7596</v>
      </c>
      <c r="H1474" s="465">
        <v>29.12</v>
      </c>
      <c r="I1474" s="465">
        <v>1.18933</v>
      </c>
      <c r="J1474" s="465">
        <v>5.3857200000000001</v>
      </c>
      <c r="K1474" s="465">
        <v>504.90323000000001</v>
      </c>
      <c r="L1474" s="464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9" t="e">
        <v>#N/A</v>
      </c>
      <c r="E1475" s="409" t="e">
        <v>#N/A</v>
      </c>
      <c r="F1475" s="409" t="e">
        <v>#N/A</v>
      </c>
      <c r="G1475" s="409" t="e">
        <v>#N/A</v>
      </c>
      <c r="H1475" s="465" t="e">
        <v>#N/A</v>
      </c>
      <c r="I1475" s="465" t="e">
        <v>#N/A</v>
      </c>
      <c r="J1475" s="465" t="e">
        <v>#N/A</v>
      </c>
      <c r="K1475" s="465" t="e">
        <v>#N/A</v>
      </c>
      <c r="L1475" s="464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9" t="e">
        <v>#N/A</v>
      </c>
      <c r="E1476" s="409" t="e">
        <v>#N/A</v>
      </c>
      <c r="F1476" s="409" t="e">
        <v>#N/A</v>
      </c>
      <c r="G1476" s="409" t="e">
        <v>#N/A</v>
      </c>
      <c r="H1476" s="465" t="e">
        <v>#N/A</v>
      </c>
      <c r="I1476" s="465" t="e">
        <v>#N/A</v>
      </c>
      <c r="J1476" s="465" t="e">
        <v>#N/A</v>
      </c>
      <c r="K1476" s="465" t="e">
        <v>#N/A</v>
      </c>
      <c r="L1476" s="464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POSUV.INT.KOV 1400 - LIŠTA HORNÁ 6m</v>
      </c>
      <c r="C1477" s="185">
        <f t="shared" si="47"/>
        <v>123.18476</v>
      </c>
      <c r="D1477" s="409" t="s">
        <v>7597</v>
      </c>
      <c r="E1477" s="409" t="s">
        <v>7598</v>
      </c>
      <c r="F1477" s="409" t="s">
        <v>7599</v>
      </c>
      <c r="G1477" s="409" t="s">
        <v>7600</v>
      </c>
      <c r="H1477" s="465">
        <v>3056.89293</v>
      </c>
      <c r="I1477" s="465">
        <v>123.18476</v>
      </c>
      <c r="J1477" s="465">
        <v>558.71943999999996</v>
      </c>
      <c r="K1477" s="465">
        <v>50731.414629999999</v>
      </c>
      <c r="L1477" s="464" t="s">
        <v>540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lišta dolná alu elox (H35/60) 2m</v>
      </c>
      <c r="C1478" s="185">
        <f t="shared" si="47"/>
        <v>0</v>
      </c>
      <c r="D1478" s="409" t="s">
        <v>7601</v>
      </c>
      <c r="E1478" s="409" t="s">
        <v>7602</v>
      </c>
      <c r="F1478" s="409" t="s">
        <v>7603</v>
      </c>
      <c r="G1478" s="409" t="s">
        <v>7604</v>
      </c>
      <c r="H1478" s="465">
        <v>0</v>
      </c>
      <c r="I1478" s="465">
        <v>0</v>
      </c>
      <c r="J1478" s="465">
        <v>0</v>
      </c>
      <c r="K1478" s="465">
        <v>0</v>
      </c>
      <c r="L1478" s="464" t="s">
        <v>537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Brzda k posuvnému interiérovému kovaniu</v>
      </c>
      <c r="C1479" s="185">
        <f t="shared" si="47"/>
        <v>0.90537000000000001</v>
      </c>
      <c r="D1479" s="409" t="s">
        <v>7605</v>
      </c>
      <c r="E1479" s="409" t="s">
        <v>7606</v>
      </c>
      <c r="F1479" s="409" t="s">
        <v>7607</v>
      </c>
      <c r="G1479" s="409" t="s">
        <v>7608</v>
      </c>
      <c r="H1479" s="465">
        <v>22.466940000000001</v>
      </c>
      <c r="I1479" s="465">
        <v>0.90537000000000001</v>
      </c>
      <c r="J1479" s="465">
        <v>4.1063700000000001</v>
      </c>
      <c r="K1479" s="465">
        <v>418.43428</v>
      </c>
      <c r="L1479" s="464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LIŠTA HORNÁ ALU 1390 / 330cm</v>
      </c>
      <c r="C1480" s="185">
        <f t="shared" si="47"/>
        <v>47.482660000000003</v>
      </c>
      <c r="D1480" s="409" t="s">
        <v>7609</v>
      </c>
      <c r="E1480" s="409" t="s">
        <v>7610</v>
      </c>
      <c r="F1480" s="409" t="s">
        <v>7611</v>
      </c>
      <c r="G1480" s="409" t="s">
        <v>7612</v>
      </c>
      <c r="H1480" s="465">
        <v>1178.30645</v>
      </c>
      <c r="I1480" s="465">
        <v>47.482660000000003</v>
      </c>
      <c r="J1480" s="465">
        <v>215.36335</v>
      </c>
      <c r="K1480" s="465">
        <v>19554.873080000001</v>
      </c>
      <c r="L1480" s="464" t="s">
        <v>540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 profil 1030 horný 1,2m</v>
      </c>
      <c r="C1481" s="185">
        <f t="shared" si="47"/>
        <v>3.50807</v>
      </c>
      <c r="D1481" s="409" t="s">
        <v>7613</v>
      </c>
      <c r="E1481" s="409" t="s">
        <v>7614</v>
      </c>
      <c r="F1481" s="409" t="s">
        <v>7615</v>
      </c>
      <c r="G1481" s="409" t="s">
        <v>7616</v>
      </c>
      <c r="H1481" s="465">
        <v>109.95613</v>
      </c>
      <c r="I1481" s="465">
        <v>3.50807</v>
      </c>
      <c r="J1481" s="465">
        <v>8.8497400000000006</v>
      </c>
      <c r="K1481" s="465">
        <v>815.23146999999994</v>
      </c>
      <c r="L1481" s="464" t="s">
        <v>695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 profil 1030 horný 2m</v>
      </c>
      <c r="C1482" s="185">
        <f t="shared" si="47"/>
        <v>5.8483799999999997</v>
      </c>
      <c r="D1482" s="409" t="s">
        <v>7617</v>
      </c>
      <c r="E1482" s="409" t="s">
        <v>7618</v>
      </c>
      <c r="F1482" s="409" t="s">
        <v>7619</v>
      </c>
      <c r="G1482" s="409" t="s">
        <v>7620</v>
      </c>
      <c r="H1482" s="465">
        <v>183.31148999999999</v>
      </c>
      <c r="I1482" s="465">
        <v>5.8483799999999997</v>
      </c>
      <c r="J1482" s="465">
        <v>14.75882</v>
      </c>
      <c r="K1482" s="465">
        <v>1359.0992799999999</v>
      </c>
      <c r="L1482" s="464" t="s">
        <v>695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 profil 1030 horný 3m</v>
      </c>
      <c r="C1483" s="185">
        <f t="shared" si="47"/>
        <v>8.7627600000000001</v>
      </c>
      <c r="D1483" s="409" t="s">
        <v>7621</v>
      </c>
      <c r="E1483" s="409" t="s">
        <v>7622</v>
      </c>
      <c r="F1483" s="409" t="s">
        <v>7623</v>
      </c>
      <c r="G1483" s="409" t="s">
        <v>7624</v>
      </c>
      <c r="H1483" s="465">
        <v>274.65962999999999</v>
      </c>
      <c r="I1483" s="465">
        <v>8.7627600000000001</v>
      </c>
      <c r="J1483" s="465">
        <v>22.12434</v>
      </c>
      <c r="K1483" s="465">
        <v>2036.3682100000001</v>
      </c>
      <c r="L1483" s="464" t="s">
        <v>695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 profil 1030 dolný 1,2m</v>
      </c>
      <c r="C1484" s="185">
        <f t="shared" si="47"/>
        <v>3.50807</v>
      </c>
      <c r="D1484" s="409" t="s">
        <v>7625</v>
      </c>
      <c r="E1484" s="409" t="s">
        <v>7626</v>
      </c>
      <c r="F1484" s="409" t="s">
        <v>7627</v>
      </c>
      <c r="G1484" s="409" t="s">
        <v>7628</v>
      </c>
      <c r="H1484" s="465">
        <v>109.95613</v>
      </c>
      <c r="I1484" s="465">
        <v>3.50807</v>
      </c>
      <c r="J1484" s="465">
        <v>9.9177999999999997</v>
      </c>
      <c r="K1484" s="465">
        <v>841.47200999999995</v>
      </c>
      <c r="L1484" s="464" t="s">
        <v>695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 profil 1030 dolný 2m</v>
      </c>
      <c r="C1485" s="185">
        <f t="shared" si="47"/>
        <v>5.8483799999999997</v>
      </c>
      <c r="D1485" s="409" t="s">
        <v>7629</v>
      </c>
      <c r="E1485" s="409" t="s">
        <v>7630</v>
      </c>
      <c r="F1485" s="409" t="s">
        <v>7631</v>
      </c>
      <c r="G1485" s="409" t="s">
        <v>7632</v>
      </c>
      <c r="H1485" s="465">
        <v>183.31148999999999</v>
      </c>
      <c r="I1485" s="465">
        <v>5.8483799999999997</v>
      </c>
      <c r="J1485" s="465">
        <v>14.75882</v>
      </c>
      <c r="K1485" s="465">
        <v>1359.0992799999999</v>
      </c>
      <c r="L1485" s="464" t="s">
        <v>695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 profil 1030 dolný 3m</v>
      </c>
      <c r="C1486" s="185">
        <f t="shared" si="47"/>
        <v>8.7627600000000001</v>
      </c>
      <c r="D1486" s="409" t="s">
        <v>7633</v>
      </c>
      <c r="E1486" s="409" t="s">
        <v>7634</v>
      </c>
      <c r="F1486" s="409" t="s">
        <v>7635</v>
      </c>
      <c r="G1486" s="409" t="s">
        <v>7636</v>
      </c>
      <c r="H1486" s="465">
        <v>274.65962999999999</v>
      </c>
      <c r="I1486" s="465">
        <v>8.7627600000000001</v>
      </c>
      <c r="J1486" s="465">
        <v>22.12434</v>
      </c>
      <c r="K1486" s="465">
        <v>2036.3682100000001</v>
      </c>
      <c r="L1486" s="464" t="s">
        <v>695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 profil 1030W spodný 1,2m</v>
      </c>
      <c r="C1487" s="185">
        <f t="shared" si="47"/>
        <v>3.8515100000000002</v>
      </c>
      <c r="D1487" s="409" t="s">
        <v>7637</v>
      </c>
      <c r="E1487" s="409" t="s">
        <v>7638</v>
      </c>
      <c r="F1487" s="409" t="s">
        <v>7639</v>
      </c>
      <c r="G1487" s="409" t="s">
        <v>7640</v>
      </c>
      <c r="H1487" s="465">
        <v>120.72107</v>
      </c>
      <c r="I1487" s="465">
        <v>3.8515100000000002</v>
      </c>
      <c r="J1487" s="465">
        <v>9.7236200000000004</v>
      </c>
      <c r="K1487" s="465">
        <v>895.04435000000001</v>
      </c>
      <c r="L1487" s="464" t="s">
        <v>695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 profil 1030W spodný 2m</v>
      </c>
      <c r="C1488" s="185">
        <f t="shared" si="47"/>
        <v>6.3734000000000002</v>
      </c>
      <c r="D1488" s="409" t="s">
        <v>7641</v>
      </c>
      <c r="E1488" s="409" t="s">
        <v>7642</v>
      </c>
      <c r="F1488" s="409" t="s">
        <v>7643</v>
      </c>
      <c r="G1488" s="409" t="s">
        <v>7644</v>
      </c>
      <c r="H1488" s="465">
        <v>199.76648</v>
      </c>
      <c r="I1488" s="465">
        <v>6.3734000000000002</v>
      </c>
      <c r="J1488" s="465">
        <v>18.0185</v>
      </c>
      <c r="K1488" s="465">
        <v>1528.77243</v>
      </c>
      <c r="L1488" s="464" t="s">
        <v>695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 profil 1030W spodný 3m</v>
      </c>
      <c r="C1489" s="185">
        <f t="shared" si="47"/>
        <v>9.5576399999999992</v>
      </c>
      <c r="D1489" s="409" t="s">
        <v>7645</v>
      </c>
      <c r="E1489" s="409" t="s">
        <v>7646</v>
      </c>
      <c r="F1489" s="409" t="s">
        <v>7647</v>
      </c>
      <c r="G1489" s="409" t="s">
        <v>7648</v>
      </c>
      <c r="H1489" s="465">
        <v>299.57278000000002</v>
      </c>
      <c r="I1489" s="465">
        <v>9.5576399999999992</v>
      </c>
      <c r="J1489" s="465">
        <v>24.121770000000001</v>
      </c>
      <c r="K1489" s="465">
        <v>2221.0781000000002</v>
      </c>
      <c r="L1489" s="464" t="s">
        <v>695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horný jazdec posuvné kovanie</v>
      </c>
      <c r="C1490" s="185">
        <f t="shared" si="47"/>
        <v>0.65412000000000003</v>
      </c>
      <c r="D1490" s="409" t="s">
        <v>7649</v>
      </c>
      <c r="E1490" s="409" t="s">
        <v>7650</v>
      </c>
      <c r="F1490" s="409" t="s">
        <v>7651</v>
      </c>
      <c r="G1490" s="409" t="s">
        <v>7652</v>
      </c>
      <c r="H1490" s="465">
        <v>16.015999999999998</v>
      </c>
      <c r="I1490" s="465">
        <v>0.65412000000000003</v>
      </c>
      <c r="J1490" s="465">
        <v>2.9621499999999998</v>
      </c>
      <c r="K1490" s="465">
        <v>277.69677000000001</v>
      </c>
      <c r="L1490" s="464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S35B HORNÝ JAZDEC POS. KOVANIA</v>
      </c>
      <c r="C1491" s="185">
        <f t="shared" si="47"/>
        <v>0.65412000000000003</v>
      </c>
      <c r="D1491" s="409" t="s">
        <v>7653</v>
      </c>
      <c r="E1491" s="409" t="s">
        <v>7654</v>
      </c>
      <c r="F1491" s="409" t="s">
        <v>7655</v>
      </c>
      <c r="G1491" s="409" t="s">
        <v>7656</v>
      </c>
      <c r="H1491" s="465">
        <v>16.015999999999998</v>
      </c>
      <c r="I1491" s="465">
        <v>0.65412000000000003</v>
      </c>
      <c r="J1491" s="465">
        <v>2.9621499999999998</v>
      </c>
      <c r="K1491" s="465">
        <v>277.69677000000001</v>
      </c>
      <c r="L1491" s="464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sada kovania pre 1 dvere</v>
      </c>
      <c r="C1492" s="185">
        <f t="shared" si="47"/>
        <v>10.40662</v>
      </c>
      <c r="D1492" s="409" t="s">
        <v>7657</v>
      </c>
      <c r="E1492" s="409" t="s">
        <v>7658</v>
      </c>
      <c r="F1492" s="409" t="s">
        <v>7659</v>
      </c>
      <c r="G1492" s="409" t="s">
        <v>7660</v>
      </c>
      <c r="H1492" s="465">
        <v>254.8</v>
      </c>
      <c r="I1492" s="465">
        <v>10.40662</v>
      </c>
      <c r="J1492" s="465">
        <v>47.125010000000003</v>
      </c>
      <c r="K1492" s="465">
        <v>4417.9032299999999</v>
      </c>
      <c r="L1492" s="464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SALU- PROFIL U PRO DTD 18 3M ALU</v>
      </c>
      <c r="C1493" s="185">
        <f t="shared" si="47"/>
        <v>0</v>
      </c>
      <c r="D1493" s="409" t="s">
        <v>6891</v>
      </c>
      <c r="E1493" s="409" t="s">
        <v>6892</v>
      </c>
      <c r="F1493" s="409" t="s">
        <v>7661</v>
      </c>
      <c r="G1493" s="409" t="s">
        <v>6894</v>
      </c>
      <c r="H1493" s="465">
        <v>0</v>
      </c>
      <c r="I1493" s="465">
        <v>0</v>
      </c>
      <c r="J1493" s="465">
        <v>0</v>
      </c>
      <c r="K1493" s="465">
        <v>0</v>
      </c>
      <c r="L1493" s="464" t="s">
        <v>540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Horná upevňovacia svorka T 18 mm</v>
      </c>
      <c r="C1494" s="185">
        <f t="shared" si="47"/>
        <v>23.884029999999999</v>
      </c>
      <c r="D1494" s="409" t="s">
        <v>7662</v>
      </c>
      <c r="E1494" s="409" t="s">
        <v>7663</v>
      </c>
      <c r="F1494" s="409" t="s">
        <v>7664</v>
      </c>
      <c r="G1494" s="409" t="s">
        <v>7665</v>
      </c>
      <c r="H1494" s="465">
        <v>653.17269999999996</v>
      </c>
      <c r="I1494" s="465">
        <v>23.884029999999999</v>
      </c>
      <c r="J1494" s="465">
        <v>116.62667999999999</v>
      </c>
      <c r="K1494" s="465">
        <v>9506.5928500000009</v>
      </c>
      <c r="L1494" s="464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Záves  ľavý (skrutky ) H70 18 mm</v>
      </c>
      <c r="C1495" s="185">
        <f t="shared" si="47"/>
        <v>25.50102</v>
      </c>
      <c r="D1495" s="409" t="s">
        <v>7666</v>
      </c>
      <c r="E1495" s="409" t="s">
        <v>7667</v>
      </c>
      <c r="F1495" s="409" t="s">
        <v>7668</v>
      </c>
      <c r="G1495" s="409" t="s">
        <v>7669</v>
      </c>
      <c r="H1495" s="465">
        <v>669.96288000000004</v>
      </c>
      <c r="I1495" s="465">
        <v>25.50102</v>
      </c>
      <c r="J1495" s="465">
        <v>118.63516</v>
      </c>
      <c r="K1495" s="465">
        <v>10145.876899999999</v>
      </c>
      <c r="L1495" s="464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Záves  pravý (skrutky ) H70 18 mm</v>
      </c>
      <c r="C1496" s="185">
        <f t="shared" si="47"/>
        <v>25.50102</v>
      </c>
      <c r="D1496" s="409" t="s">
        <v>7670</v>
      </c>
      <c r="E1496" s="409" t="s">
        <v>7671</v>
      </c>
      <c r="F1496" s="409" t="s">
        <v>7672</v>
      </c>
      <c r="G1496" s="409" t="s">
        <v>7673</v>
      </c>
      <c r="H1496" s="465">
        <v>669.96288000000004</v>
      </c>
      <c r="I1496" s="465">
        <v>25.50102</v>
      </c>
      <c r="J1496" s="465">
        <v>118.63516</v>
      </c>
      <c r="K1496" s="465">
        <v>10145.876899999999</v>
      </c>
      <c r="L1496" s="464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str">
        <f t="shared" si="46"/>
        <v/>
      </c>
      <c r="C1497" s="185" t="e">
        <f t="shared" si="47"/>
        <v>#N/A</v>
      </c>
      <c r="D1497" s="409" t="s">
        <v>1405</v>
      </c>
      <c r="E1497" s="409" t="s">
        <v>68</v>
      </c>
      <c r="F1497" s="409" t="s">
        <v>68</v>
      </c>
      <c r="G1497" s="409" t="s">
        <v>68</v>
      </c>
      <c r="H1497" s="465" t="e">
        <v>#N/A</v>
      </c>
      <c r="I1497" s="465" t="e">
        <v>#N/A</v>
      </c>
      <c r="J1497" s="465" t="e">
        <v>#N/A</v>
      </c>
      <c r="K1497" s="465" t="e">
        <v>#N/A</v>
      </c>
      <c r="L1497" s="464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str">
        <f t="shared" si="46"/>
        <v>SEVROLL Prosper II úchytová lišta 2,8m oliva</v>
      </c>
      <c r="C1498" s="185" t="e">
        <f t="shared" si="47"/>
        <v>#N/A</v>
      </c>
      <c r="D1498" s="409" t="s">
        <v>1406</v>
      </c>
      <c r="E1498" s="409" t="s">
        <v>1850</v>
      </c>
      <c r="F1498" s="409" t="s">
        <v>1406</v>
      </c>
      <c r="G1498" s="409" t="s">
        <v>2404</v>
      </c>
      <c r="H1498" s="465" t="e">
        <v>#N/A</v>
      </c>
      <c r="I1498" s="465" t="e">
        <v>#N/A</v>
      </c>
      <c r="J1498" s="465" t="e">
        <v>#N/A</v>
      </c>
      <c r="K1498" s="465" t="e">
        <v>#N/A</v>
      </c>
      <c r="L1498" s="464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9" t="e">
        <v>#N/A</v>
      </c>
      <c r="E1499" s="409" t="e">
        <v>#N/A</v>
      </c>
      <c r="F1499" s="409" t="e">
        <v>#N/A</v>
      </c>
      <c r="G1499" s="409" t="e">
        <v>#N/A</v>
      </c>
      <c r="H1499" s="465" t="e">
        <v>#N/A</v>
      </c>
      <c r="I1499" s="465" t="e">
        <v>#N/A</v>
      </c>
      <c r="J1499" s="465" t="e">
        <v>#N/A</v>
      </c>
      <c r="K1499" s="465" t="e">
        <v>#N/A</v>
      </c>
      <c r="L1499" s="464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9" t="e">
        <v>#N/A</v>
      </c>
      <c r="E1500" s="409" t="e">
        <v>#N/A</v>
      </c>
      <c r="F1500" s="409" t="e">
        <v>#N/A</v>
      </c>
      <c r="G1500" s="409" t="e">
        <v>#N/A</v>
      </c>
      <c r="H1500" s="465" t="e">
        <v>#N/A</v>
      </c>
      <c r="I1500" s="465" t="e">
        <v>#N/A</v>
      </c>
      <c r="J1500" s="465" t="e">
        <v>#N/A</v>
      </c>
      <c r="K1500" s="465" t="e">
        <v>#N/A</v>
      </c>
      <c r="L1500" s="464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9" t="e">
        <v>#N/A</v>
      </c>
      <c r="E1501" s="409" t="e">
        <v>#N/A</v>
      </c>
      <c r="F1501" s="409" t="e">
        <v>#N/A</v>
      </c>
      <c r="G1501" s="409" t="e">
        <v>#N/A</v>
      </c>
      <c r="H1501" s="465" t="e">
        <v>#N/A</v>
      </c>
      <c r="I1501" s="465" t="e">
        <v>#N/A</v>
      </c>
      <c r="J1501" s="465" t="e">
        <v>#N/A</v>
      </c>
      <c r="K1501" s="465" t="e">
        <v>#N/A</v>
      </c>
      <c r="L1501" s="464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9" t="e">
        <v>#N/A</v>
      </c>
      <c r="E1502" s="409" t="e">
        <v>#N/A</v>
      </c>
      <c r="F1502" s="409" t="e">
        <v>#N/A</v>
      </c>
      <c r="G1502" s="409" t="e">
        <v>#N/A</v>
      </c>
      <c r="H1502" s="465" t="e">
        <v>#N/A</v>
      </c>
      <c r="I1502" s="465" t="e">
        <v>#N/A</v>
      </c>
      <c r="J1502" s="465" t="e">
        <v>#N/A</v>
      </c>
      <c r="K1502" s="465" t="e">
        <v>#N/A</v>
      </c>
      <c r="L1502" s="464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9" t="e">
        <v>#N/A</v>
      </c>
      <c r="E1503" s="409" t="e">
        <v>#N/A</v>
      </c>
      <c r="F1503" s="409" t="e">
        <v>#N/A</v>
      </c>
      <c r="G1503" s="409" t="e">
        <v>#N/A</v>
      </c>
      <c r="H1503" s="465" t="e">
        <v>#N/A</v>
      </c>
      <c r="I1503" s="465" t="e">
        <v>#N/A</v>
      </c>
      <c r="J1503" s="465" t="e">
        <v>#N/A</v>
      </c>
      <c r="K1503" s="465" t="e">
        <v>#N/A</v>
      </c>
      <c r="L1503" s="464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9" t="e">
        <v>#N/A</v>
      </c>
      <c r="E1504" s="409" t="e">
        <v>#N/A</v>
      </c>
      <c r="F1504" s="409" t="e">
        <v>#N/A</v>
      </c>
      <c r="G1504" s="409" t="e">
        <v>#N/A</v>
      </c>
      <c r="H1504" s="465" t="e">
        <v>#N/A</v>
      </c>
      <c r="I1504" s="465" t="e">
        <v>#N/A</v>
      </c>
      <c r="J1504" s="465" t="e">
        <v>#N/A</v>
      </c>
      <c r="K1504" s="465" t="e">
        <v>#N/A</v>
      </c>
      <c r="L1504" s="464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lišta spodná RAL9005 mat alu 3m</v>
      </c>
      <c r="C1505" s="185">
        <f t="shared" si="47"/>
        <v>0</v>
      </c>
      <c r="D1505" s="409" t="s">
        <v>7674</v>
      </c>
      <c r="E1505" s="409" t="s">
        <v>7675</v>
      </c>
      <c r="F1505" s="409" t="s">
        <v>7676</v>
      </c>
      <c r="G1505" s="409" t="s">
        <v>68</v>
      </c>
      <c r="H1505" s="465">
        <v>0</v>
      </c>
      <c r="I1505" s="465">
        <v>0</v>
      </c>
      <c r="J1505" s="465">
        <v>0</v>
      </c>
      <c r="K1505" s="465">
        <v>0</v>
      </c>
      <c r="L1505" s="464" t="s">
        <v>540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lišta horná RAL9005 mat alu 3m</v>
      </c>
      <c r="C1506" s="185">
        <f t="shared" si="47"/>
        <v>0</v>
      </c>
      <c r="D1506" s="409" t="s">
        <v>7677</v>
      </c>
      <c r="E1506" s="409" t="s">
        <v>7678</v>
      </c>
      <c r="F1506" s="409" t="s">
        <v>7679</v>
      </c>
      <c r="G1506" s="409" t="s">
        <v>68</v>
      </c>
      <c r="H1506" s="465">
        <v>0</v>
      </c>
      <c r="I1506" s="465">
        <v>0</v>
      </c>
      <c r="J1506" s="465">
        <v>0</v>
      </c>
      <c r="K1506" s="465">
        <v>0</v>
      </c>
      <c r="L1506" s="464" t="s">
        <v>540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/>
      </c>
      <c r="C1507" s="185">
        <f t="shared" si="47"/>
        <v>9.8365399999999994</v>
      </c>
      <c r="D1507" s="409" t="s">
        <v>1407</v>
      </c>
      <c r="E1507" s="409" t="s">
        <v>1851</v>
      </c>
      <c r="F1507" s="409" t="s">
        <v>68</v>
      </c>
      <c r="G1507" s="409" t="s">
        <v>5863</v>
      </c>
      <c r="H1507" s="465">
        <v>273.57673999999997</v>
      </c>
      <c r="I1507" s="465">
        <v>9.8365399999999994</v>
      </c>
      <c r="J1507" s="465">
        <v>33.825380000000003</v>
      </c>
      <c r="K1507" s="465">
        <v>3920.4835899999998</v>
      </c>
      <c r="L1507" s="464" t="s">
        <v>539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sada pre 2 krídla plné tlmenie, vrátane 8 tlmičov</v>
      </c>
      <c r="C1508" s="185">
        <f t="shared" si="47"/>
        <v>86.206149999999994</v>
      </c>
      <c r="D1508" s="409" t="s">
        <v>7680</v>
      </c>
      <c r="E1508" s="409" t="s">
        <v>7681</v>
      </c>
      <c r="F1508" s="409" t="s">
        <v>7682</v>
      </c>
      <c r="G1508" s="409" t="s">
        <v>7683</v>
      </c>
      <c r="H1508" s="465">
        <v>2262.8689199999999</v>
      </c>
      <c r="I1508" s="465">
        <v>86.206149999999994</v>
      </c>
      <c r="J1508" s="465">
        <v>369.92514999999997</v>
      </c>
      <c r="K1508" s="465">
        <v>34794.651149999998</v>
      </c>
      <c r="L1508" s="464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sada pre 3 krídla plné tlmenie, vrátane 10 tlmičov,antikolizne</v>
      </c>
      <c r="C1509" s="185">
        <f t="shared" si="47"/>
        <v>113.08001</v>
      </c>
      <c r="D1509" s="409" t="s">
        <v>7684</v>
      </c>
      <c r="E1509" s="409" t="s">
        <v>7685</v>
      </c>
      <c r="F1509" s="409" t="s">
        <v>7686</v>
      </c>
      <c r="G1509" s="409" t="s">
        <v>7687</v>
      </c>
      <c r="H1509" s="465">
        <v>2968.29468</v>
      </c>
      <c r="I1509" s="465">
        <v>113.08001</v>
      </c>
      <c r="J1509" s="465">
        <v>485.24538000000001</v>
      </c>
      <c r="K1509" s="465">
        <v>45641.520349999999</v>
      </c>
      <c r="L1509" s="464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horné vedenie elox 2m</v>
      </c>
      <c r="C1510" s="185">
        <f t="shared" si="47"/>
        <v>15.00371</v>
      </c>
      <c r="D1510" s="409" t="s">
        <v>7688</v>
      </c>
      <c r="E1510" s="409" t="s">
        <v>7689</v>
      </c>
      <c r="F1510" s="409" t="s">
        <v>7690</v>
      </c>
      <c r="G1510" s="409" t="s">
        <v>7691</v>
      </c>
      <c r="H1510" s="465">
        <v>413.73072000000002</v>
      </c>
      <c r="I1510" s="465">
        <v>15.00371</v>
      </c>
      <c r="J1510" s="465">
        <v>50.726379999999999</v>
      </c>
      <c r="K1510" s="465">
        <v>4837.9801900000002</v>
      </c>
      <c r="L1510" s="464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horné vedenie elox 3m</v>
      </c>
      <c r="C1511" s="185">
        <f t="shared" si="47"/>
        <v>26.769169999999999</v>
      </c>
      <c r="D1511" s="409" t="s">
        <v>7692</v>
      </c>
      <c r="E1511" s="409" t="s">
        <v>7693</v>
      </c>
      <c r="F1511" s="409" t="s">
        <v>7694</v>
      </c>
      <c r="G1511" s="409" t="s">
        <v>7695</v>
      </c>
      <c r="H1511" s="465">
        <v>738.16704000000004</v>
      </c>
      <c r="I1511" s="465">
        <v>26.769169999999999</v>
      </c>
      <c r="J1511" s="465">
        <v>83.616829999999993</v>
      </c>
      <c r="K1511" s="465">
        <v>8631.7919999999995</v>
      </c>
      <c r="L1511" s="464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horné vedenie elox 4m</v>
      </c>
      <c r="C1512" s="185">
        <f t="shared" si="47"/>
        <v>30.007400000000001</v>
      </c>
      <c r="D1512" s="409" t="s">
        <v>7696</v>
      </c>
      <c r="E1512" s="409" t="s">
        <v>7697</v>
      </c>
      <c r="F1512" s="409" t="s">
        <v>7698</v>
      </c>
      <c r="G1512" s="409" t="s">
        <v>7699</v>
      </c>
      <c r="H1512" s="465">
        <v>827.46144000000004</v>
      </c>
      <c r="I1512" s="465">
        <v>30.007400000000001</v>
      </c>
      <c r="J1512" s="465">
        <v>101.45274999999999</v>
      </c>
      <c r="K1512" s="465">
        <v>9675.9603999999999</v>
      </c>
      <c r="L1512" s="464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spodné vedenie elox 2m</v>
      </c>
      <c r="C1513" s="185">
        <f t="shared" si="47"/>
        <v>18.34985</v>
      </c>
      <c r="D1513" s="409" t="s">
        <v>7700</v>
      </c>
      <c r="E1513" s="409" t="s">
        <v>7701</v>
      </c>
      <c r="F1513" s="409" t="s">
        <v>7702</v>
      </c>
      <c r="G1513" s="409" t="s">
        <v>7703</v>
      </c>
      <c r="H1513" s="465">
        <v>506.0016</v>
      </c>
      <c r="I1513" s="465">
        <v>18.34985</v>
      </c>
      <c r="J1513" s="465">
        <v>62.039479999999998</v>
      </c>
      <c r="K1513" s="465">
        <v>5916.9541900000004</v>
      </c>
      <c r="L1513" s="464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spodné vedenie elox 3m</v>
      </c>
      <c r="C1514" s="185">
        <f t="shared" si="47"/>
        <v>32.633929999999999</v>
      </c>
      <c r="D1514" s="409" t="s">
        <v>7704</v>
      </c>
      <c r="E1514" s="409" t="s">
        <v>7705</v>
      </c>
      <c r="F1514" s="409" t="s">
        <v>7706</v>
      </c>
      <c r="G1514" s="409" t="s">
        <v>7707</v>
      </c>
      <c r="H1514" s="465">
        <v>899.88912000000005</v>
      </c>
      <c r="I1514" s="465">
        <v>32.633929999999999</v>
      </c>
      <c r="J1514" s="465">
        <v>102.04992</v>
      </c>
      <c r="K1514" s="465">
        <v>10522.89696</v>
      </c>
      <c r="L1514" s="464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spodné vedenie elox 4m</v>
      </c>
      <c r="C1515" s="185">
        <f t="shared" si="47"/>
        <v>36.6997</v>
      </c>
      <c r="D1515" s="409" t="s">
        <v>7708</v>
      </c>
      <c r="E1515" s="409" t="s">
        <v>7709</v>
      </c>
      <c r="F1515" s="409" t="s">
        <v>7710</v>
      </c>
      <c r="G1515" s="409" t="s">
        <v>7711</v>
      </c>
      <c r="H1515" s="465">
        <v>1012.0032</v>
      </c>
      <c r="I1515" s="465">
        <v>36.6997</v>
      </c>
      <c r="J1515" s="465">
        <v>124.07883</v>
      </c>
      <c r="K1515" s="465">
        <v>11833.9084</v>
      </c>
      <c r="L1515" s="464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krycí profil elox 3m</v>
      </c>
      <c r="C1516" s="185">
        <f t="shared" si="47"/>
        <v>16.298999999999999</v>
      </c>
      <c r="D1516" s="409" t="s">
        <v>7712</v>
      </c>
      <c r="E1516" s="409" t="s">
        <v>7713</v>
      </c>
      <c r="F1516" s="409" t="s">
        <v>7714</v>
      </c>
      <c r="G1516" s="409" t="s">
        <v>7715</v>
      </c>
      <c r="H1516" s="465">
        <v>449.44848000000002</v>
      </c>
      <c r="I1516" s="465">
        <v>16.298999999999999</v>
      </c>
      <c r="J1516" s="465">
        <v>46.34713</v>
      </c>
      <c r="K1516" s="465">
        <v>5255.6475499999997</v>
      </c>
      <c r="L1516" s="464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9" t="e">
        <v>#N/A</v>
      </c>
      <c r="E1517" s="409" t="e">
        <v>#N/A</v>
      </c>
      <c r="F1517" s="409" t="e">
        <v>#N/A</v>
      </c>
      <c r="G1517" s="409" t="e">
        <v>#N/A</v>
      </c>
      <c r="H1517" s="465" t="e">
        <v>#N/A</v>
      </c>
      <c r="I1517" s="465" t="e">
        <v>#N/A</v>
      </c>
      <c r="J1517" s="465" t="e">
        <v>#N/A</v>
      </c>
      <c r="K1517" s="465" t="e">
        <v>#N/A</v>
      </c>
      <c r="L1517" s="464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9" t="e">
        <v>#N/A</v>
      </c>
      <c r="E1518" s="409" t="e">
        <v>#N/A</v>
      </c>
      <c r="F1518" s="409" t="e">
        <v>#N/A</v>
      </c>
      <c r="G1518" s="409" t="e">
        <v>#N/A</v>
      </c>
      <c r="H1518" s="465" t="e">
        <v>#N/A</v>
      </c>
      <c r="I1518" s="465" t="e">
        <v>#N/A</v>
      </c>
      <c r="J1518" s="465" t="e">
        <v>#N/A</v>
      </c>
      <c r="K1518" s="465" t="e">
        <v>#N/A</v>
      </c>
      <c r="L1518" s="464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S-kartáč dorazový nízký s lepidlom 4,8*5mm sivý</v>
      </c>
      <c r="C1519" s="185">
        <f t="shared" si="47"/>
        <v>1.0109300000000001</v>
      </c>
      <c r="D1519" s="409" t="s">
        <v>7716</v>
      </c>
      <c r="E1519" s="409" t="s">
        <v>7717</v>
      </c>
      <c r="F1519" s="409" t="s">
        <v>7718</v>
      </c>
      <c r="G1519" s="409" t="s">
        <v>7719</v>
      </c>
      <c r="H1519" s="465">
        <v>24.751999999999999</v>
      </c>
      <c r="I1519" s="465">
        <v>1.0109300000000001</v>
      </c>
      <c r="J1519" s="465">
        <v>4.5778600000000003</v>
      </c>
      <c r="K1519" s="465">
        <v>415.39321000000001</v>
      </c>
      <c r="L1519" s="464" t="s">
        <v>540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sada kovania pre 1 dvere</v>
      </c>
      <c r="C1520" s="185">
        <f t="shared" si="47"/>
        <v>10.40662</v>
      </c>
      <c r="D1520" s="409" t="s">
        <v>7720</v>
      </c>
      <c r="E1520" s="409" t="s">
        <v>7721</v>
      </c>
      <c r="F1520" s="409" t="s">
        <v>7722</v>
      </c>
      <c r="G1520" s="409" t="s">
        <v>7723</v>
      </c>
      <c r="H1520" s="465">
        <v>254.8</v>
      </c>
      <c r="I1520" s="465">
        <v>10.40662</v>
      </c>
      <c r="J1520" s="465">
        <v>47.125010000000003</v>
      </c>
      <c r="K1520" s="465">
        <v>4417.9032299999999</v>
      </c>
      <c r="L1520" s="464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S-deliaci profil "T" 3m elox sríborný</v>
      </c>
      <c r="C1521" s="185">
        <f t="shared" si="47"/>
        <v>0</v>
      </c>
      <c r="D1521" s="409" t="s">
        <v>7724</v>
      </c>
      <c r="E1521" s="409" t="s">
        <v>7725</v>
      </c>
      <c r="F1521" s="409" t="s">
        <v>7726</v>
      </c>
      <c r="G1521" s="409" t="s">
        <v>7727</v>
      </c>
      <c r="H1521" s="465">
        <v>0</v>
      </c>
      <c r="I1521" s="465">
        <v>0</v>
      </c>
      <c r="J1521" s="465">
        <v>0</v>
      </c>
      <c r="K1521" s="465">
        <v>0</v>
      </c>
      <c r="L1521" s="464" t="s">
        <v>540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horné vedenie 2,35m čierna mat</v>
      </c>
      <c r="C1522" s="185">
        <f t="shared" si="47"/>
        <v>25.450099999999999</v>
      </c>
      <c r="D1522" s="409" t="s">
        <v>1408</v>
      </c>
      <c r="E1522" s="409" t="s">
        <v>1852</v>
      </c>
      <c r="F1522" s="409" t="s">
        <v>5864</v>
      </c>
      <c r="G1522" s="409" t="s">
        <v>5865</v>
      </c>
      <c r="H1522" s="465">
        <v>707.82552999999996</v>
      </c>
      <c r="I1522" s="465">
        <v>25.450099999999999</v>
      </c>
      <c r="J1522" s="465">
        <v>103.20359999999999</v>
      </c>
      <c r="K1522" s="465">
        <v>10143.473319999999</v>
      </c>
      <c r="L1522" s="464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horné vedenie  4,05m čierna mat</v>
      </c>
      <c r="C1523" s="185">
        <f t="shared" si="47"/>
        <v>43.848080000000003</v>
      </c>
      <c r="D1523" s="409" t="s">
        <v>1409</v>
      </c>
      <c r="E1523" s="409" t="s">
        <v>1853</v>
      </c>
      <c r="F1523" s="409" t="s">
        <v>5866</v>
      </c>
      <c r="G1523" s="409" t="s">
        <v>5867</v>
      </c>
      <c r="H1523" s="465">
        <v>1219.5153600000001</v>
      </c>
      <c r="I1523" s="465">
        <v>43.848080000000003</v>
      </c>
      <c r="J1523" s="465">
        <v>177.9186</v>
      </c>
      <c r="K1523" s="465">
        <v>17476.229630000002</v>
      </c>
      <c r="L1523" s="464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spodné vedenie 4,05m čierna mat</v>
      </c>
      <c r="C1524" s="185">
        <f t="shared" si="47"/>
        <v>25.658280000000001</v>
      </c>
      <c r="D1524" s="409" t="s">
        <v>1410</v>
      </c>
      <c r="E1524" s="409" t="s">
        <v>1854</v>
      </c>
      <c r="F1524" s="409" t="s">
        <v>5868</v>
      </c>
      <c r="G1524" s="409" t="s">
        <v>5869</v>
      </c>
      <c r="H1524" s="465">
        <v>713.61551999999995</v>
      </c>
      <c r="I1524" s="465">
        <v>25.658280000000001</v>
      </c>
      <c r="J1524" s="465">
        <v>96.930599999999998</v>
      </c>
      <c r="K1524" s="465">
        <v>10226.44657</v>
      </c>
      <c r="L1524" s="464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spodné vedenie 2,35m čierna mat</v>
      </c>
      <c r="C1525" s="185">
        <f t="shared" si="47"/>
        <v>14.91095</v>
      </c>
      <c r="D1525" s="409" t="s">
        <v>1411</v>
      </c>
      <c r="E1525" s="409" t="s">
        <v>1855</v>
      </c>
      <c r="F1525" s="409" t="s">
        <v>5870</v>
      </c>
      <c r="G1525" s="409" t="s">
        <v>5871</v>
      </c>
      <c r="H1525" s="465">
        <v>414.70758000000001</v>
      </c>
      <c r="I1525" s="465">
        <v>14.91095</v>
      </c>
      <c r="J1525" s="465">
        <v>56.242800000000003</v>
      </c>
      <c r="K1525" s="465">
        <v>5942.9550600000002</v>
      </c>
      <c r="L1525" s="464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maska Elegant II 2,35m čierna mat</v>
      </c>
      <c r="C1526" s="185">
        <f t="shared" si="47"/>
        <v>4.6059999999999999</v>
      </c>
      <c r="D1526" s="409" t="s">
        <v>1412</v>
      </c>
      <c r="E1526" s="409" t="s">
        <v>1856</v>
      </c>
      <c r="F1526" s="409" t="s">
        <v>5872</v>
      </c>
      <c r="G1526" s="409" t="s">
        <v>5873</v>
      </c>
      <c r="H1526" s="465">
        <v>128.10339999999999</v>
      </c>
      <c r="I1526" s="465">
        <v>4.6059999999999999</v>
      </c>
      <c r="J1526" s="465">
        <v>16.870799999999999</v>
      </c>
      <c r="K1526" s="465">
        <v>1835.78208</v>
      </c>
      <c r="L1526" s="464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maska Elegant II 4,05m čierna mat</v>
      </c>
      <c r="C1527" s="185">
        <f t="shared" si="47"/>
        <v>7.93689</v>
      </c>
      <c r="D1527" s="409" t="s">
        <v>1413</v>
      </c>
      <c r="E1527" s="409" t="s">
        <v>1857</v>
      </c>
      <c r="F1527" s="409" t="s">
        <v>5874</v>
      </c>
      <c r="G1527" s="409" t="s">
        <v>5875</v>
      </c>
      <c r="H1527" s="465">
        <v>220.74315000000001</v>
      </c>
      <c r="I1527" s="465">
        <v>7.93689</v>
      </c>
      <c r="J1527" s="465">
        <v>29.07</v>
      </c>
      <c r="K1527" s="465">
        <v>3163.3533000000002</v>
      </c>
      <c r="L1527" s="464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uholník Mini 17x11mm 2,35m čierna mat</v>
      </c>
      <c r="C1528" s="185">
        <f t="shared" si="47"/>
        <v>4.3978200000000003</v>
      </c>
      <c r="D1528" s="409" t="s">
        <v>5876</v>
      </c>
      <c r="E1528" s="409" t="s">
        <v>5877</v>
      </c>
      <c r="F1528" s="409" t="s">
        <v>5878</v>
      </c>
      <c r="G1528" s="409" t="s">
        <v>5879</v>
      </c>
      <c r="H1528" s="465">
        <v>122.31341</v>
      </c>
      <c r="I1528" s="465">
        <v>4.3978200000000003</v>
      </c>
      <c r="J1528" s="465">
        <v>16.901399999999999</v>
      </c>
      <c r="K1528" s="465">
        <v>1752.8088</v>
      </c>
      <c r="L1528" s="464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spojovacia lišta H18 3m čierna mat</v>
      </c>
      <c r="C1529" s="185">
        <f t="shared" si="47"/>
        <v>15.587540000000001</v>
      </c>
      <c r="D1529" s="409" t="s">
        <v>1414</v>
      </c>
      <c r="E1529" s="409" t="s">
        <v>1858</v>
      </c>
      <c r="F1529" s="409" t="s">
        <v>5880</v>
      </c>
      <c r="G1529" s="409" t="s">
        <v>2405</v>
      </c>
      <c r="H1529" s="465">
        <v>433.52503999999999</v>
      </c>
      <c r="I1529" s="465">
        <v>15.587540000000001</v>
      </c>
      <c r="J1529" s="465">
        <v>62.464799999999997</v>
      </c>
      <c r="K1529" s="465">
        <v>6212.6180999999997</v>
      </c>
      <c r="L1529" s="464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dorazová štetina zásuvná 14x4mm čierna</v>
      </c>
      <c r="C1530" s="185">
        <f t="shared" si="47"/>
        <v>0.39034000000000002</v>
      </c>
      <c r="D1530" s="409" t="s">
        <v>1415</v>
      </c>
      <c r="E1530" s="409" t="s">
        <v>1859</v>
      </c>
      <c r="F1530" s="409" t="s">
        <v>5881</v>
      </c>
      <c r="G1530" s="409" t="s">
        <v>5882</v>
      </c>
      <c r="H1530" s="465">
        <v>11.520099999999999</v>
      </c>
      <c r="I1530" s="465">
        <v>0.39034000000000002</v>
      </c>
      <c r="J1530" s="465">
        <v>1.43</v>
      </c>
      <c r="K1530" s="465">
        <v>155.07764</v>
      </c>
      <c r="L1530" s="464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dorazová štetina zásuvná 4,8x4mm čierna</v>
      </c>
      <c r="C1531" s="185">
        <f t="shared" si="47"/>
        <v>0.15629999999999999</v>
      </c>
      <c r="D1531" s="409" t="s">
        <v>1416</v>
      </c>
      <c r="E1531" s="409" t="s">
        <v>1860</v>
      </c>
      <c r="F1531" s="409" t="s">
        <v>5883</v>
      </c>
      <c r="G1531" s="409" t="s">
        <v>5884</v>
      </c>
      <c r="H1531" s="465">
        <v>4.6080500000000004</v>
      </c>
      <c r="I1531" s="465">
        <v>0.15629999999999999</v>
      </c>
      <c r="J1531" s="465">
        <v>0.59360000000000002</v>
      </c>
      <c r="K1531" s="465">
        <v>63.993670000000002</v>
      </c>
      <c r="L1531" s="464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9" t="e">
        <v>#N/A</v>
      </c>
      <c r="E1532" s="409" t="e">
        <v>#N/A</v>
      </c>
      <c r="F1532" s="409" t="e">
        <v>#N/A</v>
      </c>
      <c r="G1532" s="409" t="e">
        <v>#N/A</v>
      </c>
      <c r="H1532" s="465" t="e">
        <v>#N/A</v>
      </c>
      <c r="I1532" s="465" t="e">
        <v>#N/A</v>
      </c>
      <c r="J1532" s="465" t="e">
        <v>#N/A</v>
      </c>
      <c r="K1532" s="465" t="e">
        <v>#N/A</v>
      </c>
      <c r="L1532" s="464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9" t="e">
        <v>#N/A</v>
      </c>
      <c r="E1533" s="409" t="e">
        <v>#N/A</v>
      </c>
      <c r="F1533" s="409" t="e">
        <v>#N/A</v>
      </c>
      <c r="G1533" s="409" t="e">
        <v>#N/A</v>
      </c>
      <c r="H1533" s="465" t="e">
        <v>#N/A</v>
      </c>
      <c r="I1533" s="465" t="e">
        <v>#N/A</v>
      </c>
      <c r="J1533" s="465" t="e">
        <v>#N/A</v>
      </c>
      <c r="K1533" s="465" t="e">
        <v>#N/A</v>
      </c>
      <c r="L1533" s="464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9" t="e">
        <v>#N/A</v>
      </c>
      <c r="E1534" s="409" t="e">
        <v>#N/A</v>
      </c>
      <c r="F1534" s="409" t="e">
        <v>#N/A</v>
      </c>
      <c r="G1534" s="409" t="e">
        <v>#N/A</v>
      </c>
      <c r="H1534" s="465" t="e">
        <v>#N/A</v>
      </c>
      <c r="I1534" s="465" t="e">
        <v>#N/A</v>
      </c>
      <c r="J1534" s="465" t="e">
        <v>#N/A</v>
      </c>
      <c r="K1534" s="465" t="e">
        <v>#N/A</v>
      </c>
      <c r="L1534" s="464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9" t="e">
        <v>#N/A</v>
      </c>
      <c r="E1535" s="409" t="e">
        <v>#N/A</v>
      </c>
      <c r="F1535" s="409" t="e">
        <v>#N/A</v>
      </c>
      <c r="G1535" s="409" t="e">
        <v>#N/A</v>
      </c>
      <c r="H1535" s="465" t="e">
        <v>#N/A</v>
      </c>
      <c r="I1535" s="465" t="e">
        <v>#N/A</v>
      </c>
      <c r="J1535" s="465" t="e">
        <v>#N/A</v>
      </c>
      <c r="K1535" s="465" t="e">
        <v>#N/A</v>
      </c>
      <c r="L1535" s="464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9" t="e">
        <v>#N/A</v>
      </c>
      <c r="E1536" s="409" t="e">
        <v>#N/A</v>
      </c>
      <c r="F1536" s="409" t="e">
        <v>#N/A</v>
      </c>
      <c r="G1536" s="409" t="e">
        <v>#N/A</v>
      </c>
      <c r="H1536" s="465" t="e">
        <v>#N/A</v>
      </c>
      <c r="I1536" s="465" t="e">
        <v>#N/A</v>
      </c>
      <c r="J1536" s="465" t="e">
        <v>#N/A</v>
      </c>
      <c r="K1536" s="465" t="e">
        <v>#N/A</v>
      </c>
      <c r="L1536" s="464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 S04 str.elox 2,7m</v>
      </c>
      <c r="C1537" s="185">
        <f t="shared" si="47"/>
        <v>0</v>
      </c>
      <c r="D1537" s="409" t="s">
        <v>7728</v>
      </c>
      <c r="E1537" s="409" t="s">
        <v>7729</v>
      </c>
      <c r="F1537" s="409" t="s">
        <v>7730</v>
      </c>
      <c r="G1537" s="409" t="s">
        <v>7731</v>
      </c>
      <c r="H1537" s="465">
        <v>0</v>
      </c>
      <c r="I1537" s="465">
        <v>0</v>
      </c>
      <c r="J1537" s="465">
        <v>0</v>
      </c>
      <c r="K1537" s="465">
        <v>0</v>
      </c>
      <c r="L1537" s="464" t="s">
        <v>540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ZR-18 Unicomfort sada pre rozbalovacie dvere</v>
      </c>
      <c r="C1538" s="185">
        <f t="shared" si="47"/>
        <v>30.446439999999999</v>
      </c>
      <c r="D1538" s="409" t="s">
        <v>3036</v>
      </c>
      <c r="E1538" s="409" t="s">
        <v>1861</v>
      </c>
      <c r="F1538" s="409" t="s">
        <v>2174</v>
      </c>
      <c r="G1538" s="409" t="s">
        <v>2406</v>
      </c>
      <c r="H1538" s="465">
        <v>846.78513999999996</v>
      </c>
      <c r="I1538" s="465">
        <v>30.446439999999999</v>
      </c>
      <c r="J1538" s="465">
        <v>106.2534</v>
      </c>
      <c r="K1538" s="465">
        <v>12134.82993</v>
      </c>
      <c r="L1538" s="464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9" t="e">
        <v>#N/A</v>
      </c>
      <c r="E1539" s="409" t="e">
        <v>#N/A</v>
      </c>
      <c r="F1539" s="409" t="e">
        <v>#N/A</v>
      </c>
      <c r="G1539" s="409" t="e">
        <v>#N/A</v>
      </c>
      <c r="H1539" s="465" t="e">
        <v>#N/A</v>
      </c>
      <c r="I1539" s="465" t="e">
        <v>#N/A</v>
      </c>
      <c r="J1539" s="465" t="e">
        <v>#N/A</v>
      </c>
      <c r="K1539" s="465" t="e">
        <v>#N/A</v>
      </c>
      <c r="L1539" s="464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S-S34sada kovania pre alu rámček</v>
      </c>
      <c r="C1540" s="185">
        <f t="shared" ref="C1540:C1603" si="49">IF($A$2=1,H1540,IF($A$2=2,I1540,IF($A$2=3,J1540,IF($A$2=4,K1540,IF($A$2&gt;4,O1540,"zadat jazyk")))))</f>
        <v>0</v>
      </c>
      <c r="D1540" s="409" t="s">
        <v>7732</v>
      </c>
      <c r="E1540" s="409" t="s">
        <v>7733</v>
      </c>
      <c r="F1540" s="409" t="s">
        <v>7734</v>
      </c>
      <c r="G1540" s="409" t="s">
        <v>7735</v>
      </c>
      <c r="H1540" s="465">
        <v>0</v>
      </c>
      <c r="I1540" s="465">
        <v>0</v>
      </c>
      <c r="J1540" s="465">
        <v>0</v>
      </c>
      <c r="K1540" s="465">
        <v>0</v>
      </c>
      <c r="L1540" s="464" t="s">
        <v>540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IC-úch.lišta Exclusive 10mm 2,7m str.</v>
      </c>
      <c r="C1541" s="185">
        <f t="shared" si="49"/>
        <v>13.75836</v>
      </c>
      <c r="D1541" s="409" t="s">
        <v>7736</v>
      </c>
      <c r="E1541" s="409" t="s">
        <v>7737</v>
      </c>
      <c r="F1541" s="409" t="s">
        <v>7738</v>
      </c>
      <c r="G1541" s="409" t="s">
        <v>7739</v>
      </c>
      <c r="H1541" s="465">
        <v>353.5</v>
      </c>
      <c r="I1541" s="465">
        <v>13.75836</v>
      </c>
      <c r="J1541" s="465">
        <v>75.869839999999996</v>
      </c>
      <c r="K1541" s="465">
        <v>0</v>
      </c>
      <c r="L1541" s="464" t="s">
        <v>537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IC-horná vodiaca lišta 10mm 2m strieborná</v>
      </c>
      <c r="C1542" s="185">
        <f t="shared" si="49"/>
        <v>5.1082999999999998</v>
      </c>
      <c r="D1542" s="409" t="s">
        <v>7740</v>
      </c>
      <c r="E1542" s="409" t="s">
        <v>7741</v>
      </c>
      <c r="F1542" s="409" t="s">
        <v>7742</v>
      </c>
      <c r="G1542" s="409" t="s">
        <v>7743</v>
      </c>
      <c r="H1542" s="465">
        <v>213.5</v>
      </c>
      <c r="I1542" s="465">
        <v>5.1082999999999998</v>
      </c>
      <c r="J1542" s="465">
        <v>28.169499999999999</v>
      </c>
      <c r="K1542" s="465">
        <v>4297.5483800000002</v>
      </c>
      <c r="L1542" s="464" t="s">
        <v>539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IC-spodná krycia lišta 10mm 2m strieborná</v>
      </c>
      <c r="C1543" s="185">
        <f t="shared" si="49"/>
        <v>10.55715</v>
      </c>
      <c r="D1543" s="409" t="s">
        <v>7744</v>
      </c>
      <c r="E1543" s="409" t="s">
        <v>7745</v>
      </c>
      <c r="F1543" s="409" t="s">
        <v>7746</v>
      </c>
      <c r="G1543" s="409" t="s">
        <v>7747</v>
      </c>
      <c r="H1543" s="465">
        <v>441</v>
      </c>
      <c r="I1543" s="465">
        <v>10.55715</v>
      </c>
      <c r="J1543" s="465">
        <v>58.21696</v>
      </c>
      <c r="K1543" s="465">
        <v>8876.9032200000001</v>
      </c>
      <c r="L1543" s="464" t="s">
        <v>539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StrongLine Linio sada kovania pre 2 krídla s tlmením 40 kg</v>
      </c>
      <c r="C1544" s="185">
        <f t="shared" si="49"/>
        <v>38.723309999999998</v>
      </c>
      <c r="D1544" s="409" t="s">
        <v>7748</v>
      </c>
      <c r="E1544" s="409" t="s">
        <v>7749</v>
      </c>
      <c r="F1544" s="409" t="s">
        <v>7750</v>
      </c>
      <c r="G1544" s="409" t="s">
        <v>7751</v>
      </c>
      <c r="H1544" s="465">
        <v>1016.46792</v>
      </c>
      <c r="I1544" s="465">
        <v>38.723309999999998</v>
      </c>
      <c r="J1544" s="465">
        <v>166.16825</v>
      </c>
      <c r="K1544" s="465">
        <v>15629.56049</v>
      </c>
      <c r="L1544" s="464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StrongLine Linio sada kovania pre 3 krídla s tlmením 40 kg</v>
      </c>
      <c r="C1545" s="185">
        <f t="shared" si="49"/>
        <v>51.423220000000001</v>
      </c>
      <c r="D1545" s="409" t="s">
        <v>7752</v>
      </c>
      <c r="E1545" s="409" t="s">
        <v>7753</v>
      </c>
      <c r="F1545" s="409" t="s">
        <v>7754</v>
      </c>
      <c r="G1545" s="409" t="s">
        <v>7755</v>
      </c>
      <c r="H1545" s="465">
        <v>1349.83368</v>
      </c>
      <c r="I1545" s="465">
        <v>51.423220000000001</v>
      </c>
      <c r="J1545" s="465">
        <v>220.66565</v>
      </c>
      <c r="K1545" s="465">
        <v>20755.507119999998</v>
      </c>
      <c r="L1545" s="464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horné/spodné vedenie elox 1,5m</v>
      </c>
      <c r="C1546" s="185">
        <f t="shared" si="49"/>
        <v>4.6963200000000001</v>
      </c>
      <c r="D1546" s="409" t="s">
        <v>7756</v>
      </c>
      <c r="E1546" s="409" t="s">
        <v>7757</v>
      </c>
      <c r="F1546" s="409" t="s">
        <v>7758</v>
      </c>
      <c r="G1546" s="409" t="s">
        <v>7759</v>
      </c>
      <c r="H1546" s="465">
        <v>126.99648000000001</v>
      </c>
      <c r="I1546" s="465">
        <v>4.6963200000000001</v>
      </c>
      <c r="J1546" s="465">
        <v>17.097370000000002</v>
      </c>
      <c r="K1546" s="465">
        <v>1485.0394799999999</v>
      </c>
      <c r="L1546" s="464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horné/spodné vedenie elox 2m</v>
      </c>
      <c r="C1547" s="185">
        <f t="shared" si="49"/>
        <v>7.3746999999999998</v>
      </c>
      <c r="D1547" s="409" t="s">
        <v>7760</v>
      </c>
      <c r="E1547" s="409" t="s">
        <v>7761</v>
      </c>
      <c r="F1547" s="409" t="s">
        <v>7762</v>
      </c>
      <c r="G1547" s="409" t="s">
        <v>7763</v>
      </c>
      <c r="H1547" s="465">
        <v>199.42416</v>
      </c>
      <c r="I1547" s="465">
        <v>7.3746999999999998</v>
      </c>
      <c r="J1547" s="465">
        <v>26.848220000000001</v>
      </c>
      <c r="K1547" s="465">
        <v>2331.9760700000002</v>
      </c>
      <c r="L1547" s="464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horné/spodné vedenie elox 3m</v>
      </c>
      <c r="C1548" s="185">
        <f t="shared" si="49"/>
        <v>9.3926700000000007</v>
      </c>
      <c r="D1548" s="409" t="s">
        <v>7764</v>
      </c>
      <c r="E1548" s="409" t="s">
        <v>7765</v>
      </c>
      <c r="F1548" s="409" t="s">
        <v>7766</v>
      </c>
      <c r="G1548" s="409" t="s">
        <v>7767</v>
      </c>
      <c r="H1548" s="465">
        <v>253.99296000000001</v>
      </c>
      <c r="I1548" s="465">
        <v>9.3926700000000007</v>
      </c>
      <c r="J1548" s="465">
        <v>34.19473</v>
      </c>
      <c r="K1548" s="465">
        <v>2970.0789599999998</v>
      </c>
      <c r="L1548" s="464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stredový tlmič obojstranný</v>
      </c>
      <c r="C1549" s="185">
        <f t="shared" si="49"/>
        <v>18.851379999999999</v>
      </c>
      <c r="D1549" s="409" t="s">
        <v>7768</v>
      </c>
      <c r="E1549" s="409" t="s">
        <v>7769</v>
      </c>
      <c r="F1549" s="409" t="s">
        <v>7770</v>
      </c>
      <c r="G1549" s="409" t="s">
        <v>7771</v>
      </c>
      <c r="H1549" s="465">
        <v>494.83980000000003</v>
      </c>
      <c r="I1549" s="465">
        <v>18.851379999999999</v>
      </c>
      <c r="J1549" s="465">
        <v>80.894499999999994</v>
      </c>
      <c r="K1549" s="465">
        <v>7608.8270300000004</v>
      </c>
      <c r="L1549" s="464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sada kovania pre 1 krídlo 30kg</v>
      </c>
      <c r="C1550" s="185">
        <f t="shared" si="49"/>
        <v>9.2653599999999994</v>
      </c>
      <c r="D1550" s="409" t="s">
        <v>7772</v>
      </c>
      <c r="E1550" s="409" t="s">
        <v>7773</v>
      </c>
      <c r="F1550" s="409" t="s">
        <v>7774</v>
      </c>
      <c r="G1550" s="409" t="s">
        <v>7775</v>
      </c>
      <c r="H1550" s="465">
        <v>243.21117000000001</v>
      </c>
      <c r="I1550" s="465">
        <v>9.2653599999999994</v>
      </c>
      <c r="J1550" s="465">
        <v>38.804499999999997</v>
      </c>
      <c r="K1550" s="465">
        <v>3739.6986499999998</v>
      </c>
      <c r="L1550" s="464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vedenie horné/dolné jednoduché 1,2m elox</v>
      </c>
      <c r="C1551" s="185">
        <f t="shared" si="49"/>
        <v>4.9180299999999999</v>
      </c>
      <c r="D1551" s="409" t="s">
        <v>7776</v>
      </c>
      <c r="E1551" s="409" t="s">
        <v>7777</v>
      </c>
      <c r="F1551" s="409" t="s">
        <v>7778</v>
      </c>
      <c r="G1551" s="409" t="s">
        <v>7779</v>
      </c>
      <c r="H1551" s="465">
        <v>135.29628</v>
      </c>
      <c r="I1551" s="465">
        <v>4.9180299999999999</v>
      </c>
      <c r="J1551" s="465">
        <v>18.34825</v>
      </c>
      <c r="K1551" s="465">
        <v>1582.0936099999999</v>
      </c>
      <c r="L1551" s="464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StrongLine Baleo vedenie horné/dolné jednoduché 2m elox</v>
      </c>
      <c r="C1552" s="185">
        <f t="shared" si="49"/>
        <v>8.1967199999999991</v>
      </c>
      <c r="D1552" s="409" t="s">
        <v>7780</v>
      </c>
      <c r="E1552" s="409" t="s">
        <v>7781</v>
      </c>
      <c r="F1552" s="409" t="s">
        <v>7782</v>
      </c>
      <c r="G1552" s="409" t="s">
        <v>7783</v>
      </c>
      <c r="H1552" s="465">
        <v>225.49379999999999</v>
      </c>
      <c r="I1552" s="465">
        <v>8.1967199999999991</v>
      </c>
      <c r="J1552" s="465">
        <v>30.58042</v>
      </c>
      <c r="K1552" s="465">
        <v>2636.8226500000001</v>
      </c>
      <c r="L1552" s="464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vedenie horné/dolné 3m elox</v>
      </c>
      <c r="C1553" s="185">
        <f t="shared" si="49"/>
        <v>12.29508</v>
      </c>
      <c r="D1553" s="409" t="s">
        <v>7784</v>
      </c>
      <c r="E1553" s="409" t="s">
        <v>7785</v>
      </c>
      <c r="F1553" s="409" t="s">
        <v>7786</v>
      </c>
      <c r="G1553" s="409" t="s">
        <v>7787</v>
      </c>
      <c r="H1553" s="465">
        <v>338.24072000000001</v>
      </c>
      <c r="I1553" s="465">
        <v>12.29508</v>
      </c>
      <c r="J1553" s="465">
        <v>45.870600000000003</v>
      </c>
      <c r="K1553" s="465">
        <v>3955.2342199999998</v>
      </c>
      <c r="L1553" s="464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StrongLine Baleo vedenie horné/dolné dvojité 1,2m</v>
      </c>
      <c r="C1554" s="185">
        <f t="shared" si="49"/>
        <v>21.077279999999998</v>
      </c>
      <c r="D1554" s="409" t="s">
        <v>7788</v>
      </c>
      <c r="E1554" s="409" t="s">
        <v>7789</v>
      </c>
      <c r="F1554" s="409" t="s">
        <v>7790</v>
      </c>
      <c r="G1554" s="409" t="s">
        <v>7791</v>
      </c>
      <c r="H1554" s="465">
        <v>579.84119999999996</v>
      </c>
      <c r="I1554" s="465">
        <v>21.077279999999998</v>
      </c>
      <c r="J1554" s="465">
        <v>78.635339999999999</v>
      </c>
      <c r="K1554" s="465">
        <v>6780.4011399999999</v>
      </c>
      <c r="L1554" s="464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StrongLine Baleo vedenie horné/dolné dvojité 2m el</v>
      </c>
      <c r="C1555" s="185">
        <f t="shared" si="49"/>
        <v>35.128799999999998</v>
      </c>
      <c r="D1555" s="409" t="s">
        <v>7792</v>
      </c>
      <c r="E1555" s="409" t="s">
        <v>7793</v>
      </c>
      <c r="F1555" s="409" t="s">
        <v>7794</v>
      </c>
      <c r="G1555" s="409" t="s">
        <v>7795</v>
      </c>
      <c r="H1555" s="465">
        <v>966.40200000000004</v>
      </c>
      <c r="I1555" s="465">
        <v>35.128799999999998</v>
      </c>
      <c r="J1555" s="465">
        <v>131.05889999999999</v>
      </c>
      <c r="K1555" s="465">
        <v>11300.66855</v>
      </c>
      <c r="L1555" s="464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StrongLine Baleo vedenie horné/dolné dvojité 3m el</v>
      </c>
      <c r="C1556" s="185">
        <f t="shared" si="49"/>
        <v>52.693199999999997</v>
      </c>
      <c r="D1556" s="409" t="s">
        <v>7796</v>
      </c>
      <c r="E1556" s="409" t="s">
        <v>7797</v>
      </c>
      <c r="F1556" s="409" t="s">
        <v>7798</v>
      </c>
      <c r="G1556" s="409" t="s">
        <v>7799</v>
      </c>
      <c r="H1556" s="465">
        <v>1449.6030000000001</v>
      </c>
      <c r="I1556" s="465">
        <v>52.693199999999997</v>
      </c>
      <c r="J1556" s="465">
        <v>196.58833999999999</v>
      </c>
      <c r="K1556" s="465">
        <v>16951.002830000001</v>
      </c>
      <c r="L1556" s="464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StrongLine Baleo záslepka dvojitého vedenia 3m</v>
      </c>
      <c r="C1557" s="185">
        <f t="shared" si="49"/>
        <v>3.4975200000000002</v>
      </c>
      <c r="D1557" s="409" t="s">
        <v>7800</v>
      </c>
      <c r="E1557" s="409" t="s">
        <v>7801</v>
      </c>
      <c r="F1557" s="409" t="s">
        <v>7802</v>
      </c>
      <c r="G1557" s="409" t="s">
        <v>7803</v>
      </c>
      <c r="H1557" s="465">
        <v>91.808189999999996</v>
      </c>
      <c r="I1557" s="465">
        <v>3.4975200000000002</v>
      </c>
      <c r="J1557" s="465">
        <v>14.64805</v>
      </c>
      <c r="K1557" s="465">
        <v>1411.6743200000001</v>
      </c>
      <c r="L1557" s="464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9" t="e">
        <v>#N/A</v>
      </c>
      <c r="E1558" s="409" t="e">
        <v>#N/A</v>
      </c>
      <c r="F1558" s="409" t="e">
        <v>#N/A</v>
      </c>
      <c r="G1558" s="409" t="e">
        <v>#N/A</v>
      </c>
      <c r="H1558" s="465" t="e">
        <v>#N/A</v>
      </c>
      <c r="I1558" s="465" t="e">
        <v>#N/A</v>
      </c>
      <c r="J1558" s="465" t="e">
        <v>#N/A</v>
      </c>
      <c r="K1558" s="465" t="e">
        <v>#N/A</v>
      </c>
      <c r="L1558" s="464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9" t="e">
        <v>#N/A</v>
      </c>
      <c r="E1559" s="409" t="e">
        <v>#N/A</v>
      </c>
      <c r="F1559" s="409" t="e">
        <v>#N/A</v>
      </c>
      <c r="G1559" s="409" t="e">
        <v>#N/A</v>
      </c>
      <c r="H1559" s="465" t="e">
        <v>#N/A</v>
      </c>
      <c r="I1559" s="465" t="e">
        <v>#N/A</v>
      </c>
      <c r="J1559" s="465" t="e">
        <v>#N/A</v>
      </c>
      <c r="K1559" s="465" t="e">
        <v>#N/A</v>
      </c>
      <c r="L1559" s="464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9" t="e">
        <v>#N/A</v>
      </c>
      <c r="E1560" s="409" t="e">
        <v>#N/A</v>
      </c>
      <c r="F1560" s="409" t="e">
        <v>#N/A</v>
      </c>
      <c r="G1560" s="409" t="e">
        <v>#N/A</v>
      </c>
      <c r="H1560" s="465" t="e">
        <v>#N/A</v>
      </c>
      <c r="I1560" s="465" t="e">
        <v>#N/A</v>
      </c>
      <c r="J1560" s="465" t="e">
        <v>#N/A</v>
      </c>
      <c r="K1560" s="465" t="e">
        <v>#N/A</v>
      </c>
      <c r="L1560" s="464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9" t="e">
        <v>#N/A</v>
      </c>
      <c r="E1561" s="409" t="e">
        <v>#N/A</v>
      </c>
      <c r="F1561" s="409" t="e">
        <v>#N/A</v>
      </c>
      <c r="G1561" s="409" t="e">
        <v>#N/A</v>
      </c>
      <c r="H1561" s="465" t="e">
        <v>#N/A</v>
      </c>
      <c r="I1561" s="465" t="e">
        <v>#N/A</v>
      </c>
      <c r="J1561" s="465" t="e">
        <v>#N/A</v>
      </c>
      <c r="K1561" s="465" t="e">
        <v>#N/A</v>
      </c>
      <c r="L1561" s="464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9" t="e">
        <v>#N/A</v>
      </c>
      <c r="E1562" s="409" t="e">
        <v>#N/A</v>
      </c>
      <c r="F1562" s="409" t="e">
        <v>#N/A</v>
      </c>
      <c r="G1562" s="409" t="e">
        <v>#N/A</v>
      </c>
      <c r="H1562" s="465" t="e">
        <v>#N/A</v>
      </c>
      <c r="I1562" s="465" t="e">
        <v>#N/A</v>
      </c>
      <c r="J1562" s="465" t="e">
        <v>#N/A</v>
      </c>
      <c r="K1562" s="465" t="e">
        <v>#N/A</v>
      </c>
      <c r="L1562" s="464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9" t="e">
        <v>#N/A</v>
      </c>
      <c r="E1563" s="409" t="e">
        <v>#N/A</v>
      </c>
      <c r="F1563" s="409" t="e">
        <v>#N/A</v>
      </c>
      <c r="G1563" s="409" t="e">
        <v>#N/A</v>
      </c>
      <c r="H1563" s="465" t="e">
        <v>#N/A</v>
      </c>
      <c r="I1563" s="465" t="e">
        <v>#N/A</v>
      </c>
      <c r="J1563" s="465" t="e">
        <v>#N/A</v>
      </c>
      <c r="K1563" s="465" t="e">
        <v>#N/A</v>
      </c>
      <c r="L1563" s="464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9" t="e">
        <v>#N/A</v>
      </c>
      <c r="E1564" s="409" t="e">
        <v>#N/A</v>
      </c>
      <c r="F1564" s="409" t="e">
        <v>#N/A</v>
      </c>
      <c r="G1564" s="409" t="e">
        <v>#N/A</v>
      </c>
      <c r="H1564" s="465" t="e">
        <v>#N/A</v>
      </c>
      <c r="I1564" s="465" t="e">
        <v>#N/A</v>
      </c>
      <c r="J1564" s="465" t="e">
        <v>#N/A</v>
      </c>
      <c r="K1564" s="465" t="e">
        <v>#N/A</v>
      </c>
      <c r="L1564" s="464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9" t="e">
        <v>#N/A</v>
      </c>
      <c r="E1565" s="409" t="e">
        <v>#N/A</v>
      </c>
      <c r="F1565" s="409" t="e">
        <v>#N/A</v>
      </c>
      <c r="G1565" s="409" t="e">
        <v>#N/A</v>
      </c>
      <c r="H1565" s="465" t="e">
        <v>#N/A</v>
      </c>
      <c r="I1565" s="465" t="e">
        <v>#N/A</v>
      </c>
      <c r="J1565" s="465" t="e">
        <v>#N/A</v>
      </c>
      <c r="K1565" s="465" t="e">
        <v>#N/A</v>
      </c>
      <c r="L1565" s="464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9" t="e">
        <v>#N/A</v>
      </c>
      <c r="E1566" s="409" t="e">
        <v>#N/A</v>
      </c>
      <c r="F1566" s="409" t="e">
        <v>#N/A</v>
      </c>
      <c r="G1566" s="409" t="e">
        <v>#N/A</v>
      </c>
      <c r="H1566" s="465" t="e">
        <v>#N/A</v>
      </c>
      <c r="I1566" s="465" t="e">
        <v>#N/A</v>
      </c>
      <c r="J1566" s="465" t="e">
        <v>#N/A</v>
      </c>
      <c r="K1566" s="465" t="e">
        <v>#N/A</v>
      </c>
      <c r="L1566" s="464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9" t="e">
        <v>#N/A</v>
      </c>
      <c r="E1567" s="409" t="e">
        <v>#N/A</v>
      </c>
      <c r="F1567" s="409" t="e">
        <v>#N/A</v>
      </c>
      <c r="G1567" s="409" t="e">
        <v>#N/A</v>
      </c>
      <c r="H1567" s="465" t="e">
        <v>#N/A</v>
      </c>
      <c r="I1567" s="465" t="e">
        <v>#N/A</v>
      </c>
      <c r="J1567" s="465" t="e">
        <v>#N/A</v>
      </c>
      <c r="K1567" s="465" t="e">
        <v>#N/A</v>
      </c>
      <c r="L1567" s="464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str">
        <f t="shared" si="48"/>
        <v>SEVROLL 221-300 sada Herkules plus 25kg HP2/25 1,2m</v>
      </c>
      <c r="C1568" s="185" t="e">
        <f t="shared" si="49"/>
        <v>#N/A</v>
      </c>
      <c r="D1568" s="409" t="s">
        <v>1417</v>
      </c>
      <c r="E1568" s="409" t="s">
        <v>1862</v>
      </c>
      <c r="F1568" s="409" t="s">
        <v>1417</v>
      </c>
      <c r="G1568" s="409" t="s">
        <v>2409</v>
      </c>
      <c r="H1568" s="465" t="e">
        <v>#N/A</v>
      </c>
      <c r="I1568" s="465" t="e">
        <v>#N/A</v>
      </c>
      <c r="J1568" s="465" t="e">
        <v>#N/A</v>
      </c>
      <c r="K1568" s="465" t="e">
        <v>#N/A</v>
      </c>
      <c r="L1568" s="464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/>
      </c>
      <c r="C1569" s="185">
        <f t="shared" si="49"/>
        <v>0</v>
      </c>
      <c r="D1569" s="409" t="s">
        <v>1418</v>
      </c>
      <c r="E1569" s="409" t="s">
        <v>1863</v>
      </c>
      <c r="F1569" s="409" t="s">
        <v>68</v>
      </c>
      <c r="G1569" s="409" t="s">
        <v>68</v>
      </c>
      <c r="H1569" s="465">
        <v>0</v>
      </c>
      <c r="I1569" s="465">
        <v>0</v>
      </c>
      <c r="J1569" s="465">
        <v>0</v>
      </c>
      <c r="K1569" s="465">
        <v>0</v>
      </c>
      <c r="L1569" s="464" t="s">
        <v>540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S-S05-1-horný vodiaci profil jednoduchý 1,5m strieborná</v>
      </c>
      <c r="C1570" s="185">
        <f t="shared" si="49"/>
        <v>0</v>
      </c>
      <c r="D1570" s="409" t="s">
        <v>7804</v>
      </c>
      <c r="E1570" s="409" t="s">
        <v>7805</v>
      </c>
      <c r="F1570" s="409" t="s">
        <v>7806</v>
      </c>
      <c r="G1570" s="409" t="s">
        <v>68</v>
      </c>
      <c r="H1570" s="465">
        <v>0</v>
      </c>
      <c r="I1570" s="465">
        <v>0</v>
      </c>
      <c r="J1570" s="465">
        <v>0</v>
      </c>
      <c r="K1570" s="465">
        <v>0</v>
      </c>
      <c r="L1570" s="464" t="s">
        <v>540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spodný prefil jednoduchý 1,5m elox strieborný</v>
      </c>
      <c r="C1571" s="185">
        <f t="shared" si="49"/>
        <v>0</v>
      </c>
      <c r="D1571" s="409" t="s">
        <v>7807</v>
      </c>
      <c r="E1571" s="409" t="s">
        <v>7808</v>
      </c>
      <c r="F1571" s="409" t="s">
        <v>7809</v>
      </c>
      <c r="G1571" s="409" t="s">
        <v>68</v>
      </c>
      <c r="H1571" s="465">
        <v>0</v>
      </c>
      <c r="I1571" s="465">
        <v>0</v>
      </c>
      <c r="J1571" s="465">
        <v>0</v>
      </c>
      <c r="K1571" s="465">
        <v>0</v>
      </c>
      <c r="L1571" s="464" t="s">
        <v>540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9" t="e">
        <v>#N/A</v>
      </c>
      <c r="E1572" s="409" t="e">
        <v>#N/A</v>
      </c>
      <c r="F1572" s="409" t="e">
        <v>#N/A</v>
      </c>
      <c r="G1572" s="409" t="e">
        <v>#N/A</v>
      </c>
      <c r="H1572" s="465" t="e">
        <v>#N/A</v>
      </c>
      <c r="I1572" s="465" t="e">
        <v>#N/A</v>
      </c>
      <c r="J1572" s="465" t="e">
        <v>#N/A</v>
      </c>
      <c r="K1572" s="465" t="e">
        <v>#N/A</v>
      </c>
      <c r="L1572" s="464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9" t="e">
        <v>#N/A</v>
      </c>
      <c r="E1573" s="409" t="e">
        <v>#N/A</v>
      </c>
      <c r="F1573" s="409" t="e">
        <v>#N/A</v>
      </c>
      <c r="G1573" s="409" t="e">
        <v>#N/A</v>
      </c>
      <c r="H1573" s="465" t="e">
        <v>#N/A</v>
      </c>
      <c r="I1573" s="465" t="e">
        <v>#N/A</v>
      </c>
      <c r="J1573" s="465" t="e">
        <v>#N/A</v>
      </c>
      <c r="K1573" s="465" t="e">
        <v>#N/A</v>
      </c>
      <c r="L1573" s="464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spodné vedenie 2,35m strieborná</v>
      </c>
      <c r="C1574" s="185">
        <f t="shared" si="49"/>
        <v>21.078309999999998</v>
      </c>
      <c r="D1574" s="409" t="s">
        <v>1419</v>
      </c>
      <c r="E1574" s="409" t="s">
        <v>1864</v>
      </c>
      <c r="F1574" s="409" t="s">
        <v>5885</v>
      </c>
      <c r="G1574" s="409" t="s">
        <v>5886</v>
      </c>
      <c r="H1574" s="465">
        <v>586.23586</v>
      </c>
      <c r="I1574" s="465">
        <v>21.078309999999998</v>
      </c>
      <c r="J1574" s="465">
        <v>79.029600000000002</v>
      </c>
      <c r="K1574" s="465">
        <v>8401.0360999999994</v>
      </c>
      <c r="L1574" s="464" t="s">
        <v>539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spodné vedenie 3m strieborná</v>
      </c>
      <c r="C1575" s="185">
        <f t="shared" si="49"/>
        <v>26.933389999999999</v>
      </c>
      <c r="D1575" s="409" t="s">
        <v>1420</v>
      </c>
      <c r="E1575" s="409" t="s">
        <v>1865</v>
      </c>
      <c r="F1575" s="409" t="s">
        <v>5887</v>
      </c>
      <c r="G1575" s="409" t="s">
        <v>5888</v>
      </c>
      <c r="H1575" s="465">
        <v>749.07916999999998</v>
      </c>
      <c r="I1575" s="465">
        <v>26.933389999999999</v>
      </c>
      <c r="J1575" s="465">
        <v>100.9392</v>
      </c>
      <c r="K1575" s="465">
        <v>10734.657450000001</v>
      </c>
      <c r="L1575" s="464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01495 Comfort spodné vedenie 4,05m strieborná</v>
      </c>
      <c r="C1576" s="185">
        <f t="shared" si="49"/>
        <v>36.37959</v>
      </c>
      <c r="D1576" s="409" t="s">
        <v>1421</v>
      </c>
      <c r="E1576" s="409" t="s">
        <v>1866</v>
      </c>
      <c r="F1576" s="409" t="s">
        <v>5889</v>
      </c>
      <c r="G1576" s="409" t="s">
        <v>5890</v>
      </c>
      <c r="H1576" s="465">
        <v>1011.79968</v>
      </c>
      <c r="I1576" s="465">
        <v>36.37959</v>
      </c>
      <c r="J1576" s="465">
        <v>147.62827999999999</v>
      </c>
      <c r="K1576" s="465">
        <v>14499.56611</v>
      </c>
      <c r="L1576" s="464" t="s">
        <v>539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/>
      </c>
      <c r="C1577" s="185">
        <f t="shared" si="49"/>
        <v>0</v>
      </c>
      <c r="D1577" s="409" t="s">
        <v>1422</v>
      </c>
      <c r="E1577" s="409" t="s">
        <v>1867</v>
      </c>
      <c r="F1577" s="409" t="s">
        <v>68</v>
      </c>
      <c r="G1577" s="409" t="s">
        <v>68</v>
      </c>
      <c r="H1577" s="465">
        <v>0</v>
      </c>
      <c r="I1577" s="465">
        <v>0</v>
      </c>
      <c r="J1577" s="465">
        <v>0</v>
      </c>
      <c r="K1577" s="465">
        <v>0</v>
      </c>
      <c r="L1577" s="464" t="s">
        <v>540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/>
      </c>
      <c r="C1578" s="185">
        <f t="shared" si="49"/>
        <v>0</v>
      </c>
      <c r="D1578" s="409" t="s">
        <v>1423</v>
      </c>
      <c r="E1578" s="409" t="s">
        <v>1868</v>
      </c>
      <c r="F1578" s="409" t="s">
        <v>68</v>
      </c>
      <c r="G1578" s="409" t="s">
        <v>68</v>
      </c>
      <c r="H1578" s="465">
        <v>0</v>
      </c>
      <c r="I1578" s="465">
        <v>0</v>
      </c>
      <c r="J1578" s="465">
        <v>0</v>
      </c>
      <c r="K1578" s="465">
        <v>0</v>
      </c>
      <c r="L1578" s="464" t="s">
        <v>540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9" t="e">
        <v>#N/A</v>
      </c>
      <c r="E1579" s="409" t="e">
        <v>#N/A</v>
      </c>
      <c r="F1579" s="409" t="e">
        <v>#N/A</v>
      </c>
      <c r="G1579" s="409" t="e">
        <v>#N/A</v>
      </c>
      <c r="H1579" s="465" t="e">
        <v>#N/A</v>
      </c>
      <c r="I1579" s="465" t="e">
        <v>#N/A</v>
      </c>
      <c r="J1579" s="465" t="e">
        <v>#N/A</v>
      </c>
      <c r="K1579" s="465" t="e">
        <v>#N/A</v>
      </c>
      <c r="L1579" s="464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9" t="e">
        <v>#N/A</v>
      </c>
      <c r="E1580" s="409" t="e">
        <v>#N/A</v>
      </c>
      <c r="F1580" s="409" t="e">
        <v>#N/A</v>
      </c>
      <c r="G1580" s="409" t="e">
        <v>#N/A</v>
      </c>
      <c r="H1580" s="465" t="e">
        <v>#N/A</v>
      </c>
      <c r="I1580" s="465" t="e">
        <v>#N/A</v>
      </c>
      <c r="J1580" s="465" t="e">
        <v>#N/A</v>
      </c>
      <c r="K1580" s="465" t="e">
        <v>#N/A</v>
      </c>
      <c r="L1580" s="464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vzorky Úchytové lišty 2021 - doplňujúca súprava k 180245</v>
      </c>
      <c r="C1581" s="185">
        <f t="shared" si="49"/>
        <v>2.7719800000000001</v>
      </c>
      <c r="D1581" s="409" t="s">
        <v>1424</v>
      </c>
      <c r="E1581" s="409" t="s">
        <v>1869</v>
      </c>
      <c r="F1581" s="409" t="s">
        <v>2175</v>
      </c>
      <c r="G1581" s="409" t="s">
        <v>68</v>
      </c>
      <c r="H1581" s="465">
        <v>68.506209999999996</v>
      </c>
      <c r="I1581" s="465">
        <v>2.7719800000000001</v>
      </c>
      <c r="J1581" s="465">
        <v>13.07526</v>
      </c>
      <c r="K1581" s="465">
        <v>1147.0222100000001</v>
      </c>
      <c r="L1581" s="464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str">
        <f t="shared" si="48"/>
        <v>SEVROLL 04449-M spodná krycia lišta Simple/Blue 2m (lamino 18mm) oliva new</v>
      </c>
      <c r="C1582" s="185" t="e">
        <f t="shared" si="49"/>
        <v>#N/A</v>
      </c>
      <c r="D1582" s="409" t="s">
        <v>1425</v>
      </c>
      <c r="E1582" s="409" t="s">
        <v>5891</v>
      </c>
      <c r="F1582" s="409" t="s">
        <v>5892</v>
      </c>
      <c r="G1582" s="409" t="s">
        <v>5893</v>
      </c>
      <c r="H1582" s="465" t="e">
        <v>#N/A</v>
      </c>
      <c r="I1582" s="465" t="e">
        <v>#N/A</v>
      </c>
      <c r="J1582" s="465" t="e">
        <v>#N/A</v>
      </c>
      <c r="K1582" s="465" t="e">
        <v>#N/A</v>
      </c>
      <c r="L1582" s="464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/>
      </c>
      <c r="C1583" s="185">
        <f t="shared" si="49"/>
        <v>89.101380000000006</v>
      </c>
      <c r="D1583" s="409" t="s">
        <v>1426</v>
      </c>
      <c r="E1583" s="409" t="s">
        <v>68</v>
      </c>
      <c r="F1583" s="409" t="s">
        <v>68</v>
      </c>
      <c r="G1583" s="409" t="s">
        <v>68</v>
      </c>
      <c r="H1583" s="465">
        <v>2478.1130699999999</v>
      </c>
      <c r="I1583" s="465">
        <v>89.101380000000006</v>
      </c>
      <c r="J1583" s="465">
        <v>352.61268000000001</v>
      </c>
      <c r="K1583" s="465">
        <v>35512.527779999997</v>
      </c>
      <c r="L1583" s="464" t="s">
        <v>539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/>
      </c>
      <c r="C1584" s="185">
        <f t="shared" si="49"/>
        <v>130.76356999999999</v>
      </c>
      <c r="D1584" s="409" t="s">
        <v>1427</v>
      </c>
      <c r="E1584" s="409" t="s">
        <v>68</v>
      </c>
      <c r="F1584" s="409" t="s">
        <v>68</v>
      </c>
      <c r="G1584" s="409" t="s">
        <v>68</v>
      </c>
      <c r="H1584" s="465">
        <v>3636.8336100000001</v>
      </c>
      <c r="I1584" s="465">
        <v>130.76356999999999</v>
      </c>
      <c r="J1584" s="465">
        <v>517.52787999999998</v>
      </c>
      <c r="K1584" s="465">
        <v>52117.53903</v>
      </c>
      <c r="L1584" s="464" t="s">
        <v>539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/>
      </c>
      <c r="C1585" s="185">
        <f t="shared" si="49"/>
        <v>172.24359000000001</v>
      </c>
      <c r="D1585" s="409" t="s">
        <v>1428</v>
      </c>
      <c r="E1585" s="409" t="s">
        <v>68</v>
      </c>
      <c r="F1585" s="409" t="s">
        <v>68</v>
      </c>
      <c r="G1585" s="409" t="s">
        <v>68</v>
      </c>
      <c r="H1585" s="465">
        <v>4790.4878799999997</v>
      </c>
      <c r="I1585" s="465">
        <v>172.24359000000001</v>
      </c>
      <c r="J1585" s="465">
        <v>681.72469000000001</v>
      </c>
      <c r="K1585" s="465">
        <v>68649.948189999996</v>
      </c>
      <c r="L1585" s="464" t="s">
        <v>539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/>
      </c>
      <c r="C1586" s="185">
        <f t="shared" si="49"/>
        <v>219.73482999999999</v>
      </c>
      <c r="D1586" s="409" t="s">
        <v>1429</v>
      </c>
      <c r="E1586" s="409" t="s">
        <v>68</v>
      </c>
      <c r="F1586" s="409" t="s">
        <v>68</v>
      </c>
      <c r="G1586" s="409" t="s">
        <v>68</v>
      </c>
      <c r="H1586" s="465">
        <v>6111.3279300000004</v>
      </c>
      <c r="I1586" s="465">
        <v>219.73482999999999</v>
      </c>
      <c r="J1586" s="465">
        <v>869.62743999999998</v>
      </c>
      <c r="K1586" s="465">
        <v>87578.208360000004</v>
      </c>
      <c r="L1586" s="464" t="s">
        <v>539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9" t="e">
        <v>#N/A</v>
      </c>
      <c r="E1587" s="409" t="e">
        <v>#N/A</v>
      </c>
      <c r="F1587" s="409" t="e">
        <v>#N/A</v>
      </c>
      <c r="G1587" s="409" t="e">
        <v>#N/A</v>
      </c>
      <c r="H1587" s="465" t="e">
        <v>#N/A</v>
      </c>
      <c r="I1587" s="465" t="e">
        <v>#N/A</v>
      </c>
      <c r="J1587" s="465" t="e">
        <v>#N/A</v>
      </c>
      <c r="K1587" s="465" t="e">
        <v>#N/A</v>
      </c>
      <c r="L1587" s="464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sada kovánia</v>
      </c>
      <c r="C1588" s="185">
        <f t="shared" si="49"/>
        <v>9.6335599999999992</v>
      </c>
      <c r="D1588" s="409" t="s">
        <v>7810</v>
      </c>
      <c r="E1588" s="409" t="s">
        <v>7811</v>
      </c>
      <c r="F1588" s="409" t="s">
        <v>7812</v>
      </c>
      <c r="G1588" s="409" t="s">
        <v>7813</v>
      </c>
      <c r="H1588" s="465">
        <v>235.87200000000001</v>
      </c>
      <c r="I1588" s="465">
        <v>9.6335599999999992</v>
      </c>
      <c r="J1588" s="465">
        <v>43.624290000000002</v>
      </c>
      <c r="K1588" s="465">
        <v>4089.7161299999998</v>
      </c>
      <c r="L1588" s="464" t="s">
        <v>537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SALU- deliaci PROFIL "T" 2M ALU</v>
      </c>
      <c r="C1589" s="185">
        <f t="shared" si="49"/>
        <v>0</v>
      </c>
      <c r="D1589" s="409" t="s">
        <v>7814</v>
      </c>
      <c r="E1589" s="409" t="s">
        <v>7815</v>
      </c>
      <c r="F1589" s="409" t="s">
        <v>7816</v>
      </c>
      <c r="G1589" s="409" t="s">
        <v>7817</v>
      </c>
      <c r="H1589" s="465">
        <v>0</v>
      </c>
      <c r="I1589" s="465">
        <v>0</v>
      </c>
      <c r="J1589" s="465">
        <v>0</v>
      </c>
      <c r="K1589" s="465">
        <v>0</v>
      </c>
      <c r="L1589" s="464" t="s">
        <v>540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S-uholník SALU 07 (S07) 2m strieborná</v>
      </c>
      <c r="C1590" s="185">
        <f t="shared" si="49"/>
        <v>0</v>
      </c>
      <c r="D1590" s="409" t="s">
        <v>7818</v>
      </c>
      <c r="E1590" s="409" t="s">
        <v>7819</v>
      </c>
      <c r="F1590" s="409" t="s">
        <v>7820</v>
      </c>
      <c r="G1590" s="409" t="s">
        <v>7821</v>
      </c>
      <c r="H1590" s="465">
        <v>0</v>
      </c>
      <c r="I1590" s="465">
        <v>0</v>
      </c>
      <c r="J1590" s="465">
        <v>0</v>
      </c>
      <c r="K1590" s="465">
        <v>0</v>
      </c>
      <c r="L1590" s="464" t="s">
        <v>540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S-uholník SALU 07 (S07) 3m strieborná</v>
      </c>
      <c r="C1591" s="185">
        <f t="shared" si="49"/>
        <v>0</v>
      </c>
      <c r="D1591" s="409" t="s">
        <v>7822</v>
      </c>
      <c r="E1591" s="409" t="s">
        <v>7823</v>
      </c>
      <c r="F1591" s="409" t="s">
        <v>7824</v>
      </c>
      <c r="G1591" s="409" t="s">
        <v>7825</v>
      </c>
      <c r="H1591" s="465">
        <v>0</v>
      </c>
      <c r="I1591" s="465">
        <v>0</v>
      </c>
      <c r="J1591" s="465">
        <v>0</v>
      </c>
      <c r="K1591" s="465">
        <v>0</v>
      </c>
      <c r="L1591" s="464" t="s">
        <v>540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SALU06 N-DOLNÝ VOD.PROFIL 3,5M ALU</v>
      </c>
      <c r="C1592" s="185">
        <f t="shared" si="49"/>
        <v>0</v>
      </c>
      <c r="D1592" s="409" t="s">
        <v>7826</v>
      </c>
      <c r="E1592" s="409" t="s">
        <v>7827</v>
      </c>
      <c r="F1592" s="409" t="s">
        <v>7828</v>
      </c>
      <c r="G1592" s="409" t="s">
        <v>7829</v>
      </c>
      <c r="H1592" s="465">
        <v>0</v>
      </c>
      <c r="I1592" s="465">
        <v>0</v>
      </c>
      <c r="J1592" s="465">
        <v>0</v>
      </c>
      <c r="K1592" s="465">
        <v>0</v>
      </c>
      <c r="L1592" s="464" t="s">
        <v>540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PROFIL SALU 12 STR.ELOX 2,7M (S12)</v>
      </c>
      <c r="C1593" s="185">
        <f t="shared" si="49"/>
        <v>21.29983</v>
      </c>
      <c r="D1593" s="409" t="s">
        <v>7830</v>
      </c>
      <c r="E1593" s="409" t="s">
        <v>7831</v>
      </c>
      <c r="F1593" s="409" t="s">
        <v>7832</v>
      </c>
      <c r="G1593" s="409" t="s">
        <v>7833</v>
      </c>
      <c r="H1593" s="465">
        <v>521.51372000000003</v>
      </c>
      <c r="I1593" s="465">
        <v>21.29983</v>
      </c>
      <c r="J1593" s="465">
        <v>96.453440000000001</v>
      </c>
      <c r="K1593" s="465">
        <v>9042.3749900000003</v>
      </c>
      <c r="L1593" s="464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horná lišta alu 3m</v>
      </c>
      <c r="C1594" s="185">
        <f t="shared" si="49"/>
        <v>0</v>
      </c>
      <c r="D1594" s="409" t="s">
        <v>7834</v>
      </c>
      <c r="E1594" s="409" t="s">
        <v>7835</v>
      </c>
      <c r="F1594" s="409" t="s">
        <v>7836</v>
      </c>
      <c r="G1594" s="409" t="s">
        <v>7837</v>
      </c>
      <c r="H1594" s="465">
        <v>0</v>
      </c>
      <c r="I1594" s="465">
        <v>0</v>
      </c>
      <c r="J1594" s="465">
        <v>0</v>
      </c>
      <c r="K1594" s="465">
        <v>0</v>
      </c>
      <c r="L1594" s="464" t="s">
        <v>540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9" t="e">
        <v>#N/A</v>
      </c>
      <c r="E1595" s="409" t="e">
        <v>#N/A</v>
      </c>
      <c r="F1595" s="409" t="e">
        <v>#N/A</v>
      </c>
      <c r="G1595" s="409" t="e">
        <v>#N/A</v>
      </c>
      <c r="H1595" s="465" t="e">
        <v>#N/A</v>
      </c>
      <c r="I1595" s="465" t="e">
        <v>#N/A</v>
      </c>
      <c r="J1595" s="465" t="e">
        <v>#N/A</v>
      </c>
      <c r="K1595" s="465" t="e">
        <v>#N/A</v>
      </c>
      <c r="L1595" s="464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9" t="e">
        <v>#N/A</v>
      </c>
      <c r="E1596" s="409" t="e">
        <v>#N/A</v>
      </c>
      <c r="F1596" s="409" t="e">
        <v>#N/A</v>
      </c>
      <c r="G1596" s="409" t="e">
        <v>#N/A</v>
      </c>
      <c r="H1596" s="465" t="e">
        <v>#N/A</v>
      </c>
      <c r="I1596" s="465" t="e">
        <v>#N/A</v>
      </c>
      <c r="J1596" s="465" t="e">
        <v>#N/A</v>
      </c>
      <c r="K1596" s="465" t="e">
        <v>#N/A</v>
      </c>
      <c r="L1596" s="464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9" t="e">
        <v>#N/A</v>
      </c>
      <c r="E1597" s="409" t="e">
        <v>#N/A</v>
      </c>
      <c r="F1597" s="409" t="e">
        <v>#N/A</v>
      </c>
      <c r="G1597" s="409" t="e">
        <v>#N/A</v>
      </c>
      <c r="H1597" s="465" t="e">
        <v>#N/A</v>
      </c>
      <c r="I1597" s="465" t="e">
        <v>#N/A</v>
      </c>
      <c r="J1597" s="465" t="e">
        <v>#N/A</v>
      </c>
      <c r="K1597" s="465" t="e">
        <v>#N/A</v>
      </c>
      <c r="L1597" s="464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9" t="e">
        <v>#N/A</v>
      </c>
      <c r="E1598" s="409" t="e">
        <v>#N/A</v>
      </c>
      <c r="F1598" s="409" t="e">
        <v>#N/A</v>
      </c>
      <c r="G1598" s="409" t="e">
        <v>#N/A</v>
      </c>
      <c r="H1598" s="465" t="e">
        <v>#N/A</v>
      </c>
      <c r="I1598" s="465" t="e">
        <v>#N/A</v>
      </c>
      <c r="J1598" s="465" t="e">
        <v>#N/A</v>
      </c>
      <c r="K1598" s="465" t="e">
        <v>#N/A</v>
      </c>
      <c r="L1598" s="464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spodný profil 3,5m svetlý brondz</v>
      </c>
      <c r="C1599" s="185">
        <f t="shared" si="49"/>
        <v>0</v>
      </c>
      <c r="D1599" s="409" t="s">
        <v>7838</v>
      </c>
      <c r="E1599" s="409" t="s">
        <v>7839</v>
      </c>
      <c r="F1599" s="409" t="s">
        <v>7840</v>
      </c>
      <c r="G1599" s="409" t="s">
        <v>7841</v>
      </c>
      <c r="H1599" s="465">
        <v>0</v>
      </c>
      <c r="I1599" s="465">
        <v>0</v>
      </c>
      <c r="J1599" s="465">
        <v>0</v>
      </c>
      <c r="K1599" s="465">
        <v>0</v>
      </c>
      <c r="L1599" s="464" t="s">
        <v>540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krycí profil 3,5m svetlý brondz</v>
      </c>
      <c r="C1600" s="185">
        <f t="shared" si="49"/>
        <v>0</v>
      </c>
      <c r="D1600" s="409" t="s">
        <v>7842</v>
      </c>
      <c r="E1600" s="409" t="s">
        <v>7843</v>
      </c>
      <c r="F1600" s="409" t="s">
        <v>7844</v>
      </c>
      <c r="G1600" s="409" t="s">
        <v>7845</v>
      </c>
      <c r="H1600" s="465">
        <v>0</v>
      </c>
      <c r="I1600" s="465">
        <v>0</v>
      </c>
      <c r="J1600" s="465">
        <v>0</v>
      </c>
      <c r="K1600" s="465">
        <v>0</v>
      </c>
      <c r="L1600" s="464" t="s">
        <v>540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S-S05-hor.vod.profil 3,5m sv.br</v>
      </c>
      <c r="C1601" s="185">
        <f t="shared" si="49"/>
        <v>0</v>
      </c>
      <c r="D1601" s="409" t="s">
        <v>7846</v>
      </c>
      <c r="E1601" s="409" t="s">
        <v>7847</v>
      </c>
      <c r="F1601" s="409" t="s">
        <v>7848</v>
      </c>
      <c r="G1601" s="409" t="s">
        <v>7849</v>
      </c>
      <c r="H1601" s="465">
        <v>0</v>
      </c>
      <c r="I1601" s="465">
        <v>0</v>
      </c>
      <c r="J1601" s="465">
        <v>0</v>
      </c>
      <c r="K1601" s="465">
        <v>0</v>
      </c>
      <c r="L1601" s="464" t="s">
        <v>540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S-deliaci profil "T" 2m svetlý brondz</v>
      </c>
      <c r="C1602" s="185">
        <f t="shared" si="49"/>
        <v>0</v>
      </c>
      <c r="D1602" s="409" t="s">
        <v>7850</v>
      </c>
      <c r="E1602" s="409" t="s">
        <v>7851</v>
      </c>
      <c r="F1602" s="409" t="s">
        <v>7852</v>
      </c>
      <c r="G1602" s="409" t="s">
        <v>7853</v>
      </c>
      <c r="H1602" s="465">
        <v>0</v>
      </c>
      <c r="I1602" s="465">
        <v>0</v>
      </c>
      <c r="J1602" s="465">
        <v>0</v>
      </c>
      <c r="K1602" s="465">
        <v>0</v>
      </c>
      <c r="L1602" s="464" t="s">
        <v>540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S-deliaci profil "T" 3m svetlý brondz</v>
      </c>
      <c r="C1603" s="185">
        <f t="shared" si="49"/>
        <v>0</v>
      </c>
      <c r="D1603" s="409" t="s">
        <v>7854</v>
      </c>
      <c r="E1603" s="409" t="s">
        <v>7855</v>
      </c>
      <c r="F1603" s="409" t="s">
        <v>7856</v>
      </c>
      <c r="G1603" s="409" t="s">
        <v>7857</v>
      </c>
      <c r="H1603" s="465">
        <v>0</v>
      </c>
      <c r="I1603" s="465">
        <v>0</v>
      </c>
      <c r="J1603" s="465">
        <v>0</v>
      </c>
      <c r="K1603" s="465">
        <v>0</v>
      </c>
      <c r="L1603" s="464" t="s">
        <v>540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 S04N svetlý bronz 2,7m</v>
      </c>
      <c r="C1604" s="185">
        <f t="shared" ref="C1604:C1667" si="51">IF($A$2=1,H1604,IF($A$2=2,I1604,IF($A$2=3,J1604,IF($A$2=4,K1604,IF($A$2&gt;4,O1604,"zadat jazyk")))))</f>
        <v>0</v>
      </c>
      <c r="D1604" s="409" t="s">
        <v>7858</v>
      </c>
      <c r="E1604" s="409" t="s">
        <v>7859</v>
      </c>
      <c r="F1604" s="409" t="s">
        <v>7860</v>
      </c>
      <c r="G1604" s="409" t="s">
        <v>7861</v>
      </c>
      <c r="H1604" s="465">
        <v>0</v>
      </c>
      <c r="I1604" s="465">
        <v>0</v>
      </c>
      <c r="J1604" s="465">
        <v>0</v>
      </c>
      <c r="K1604" s="465">
        <v>0</v>
      </c>
      <c r="L1604" s="464" t="s">
        <v>540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9" t="e">
        <v>#N/A</v>
      </c>
      <c r="E1605" s="409" t="e">
        <v>#N/A</v>
      </c>
      <c r="F1605" s="409" t="e">
        <v>#N/A</v>
      </c>
      <c r="G1605" s="409" t="e">
        <v>#N/A</v>
      </c>
      <c r="H1605" s="465" t="e">
        <v>#N/A</v>
      </c>
      <c r="I1605" s="465" t="e">
        <v>#N/A</v>
      </c>
      <c r="J1605" s="465" t="e">
        <v>#N/A</v>
      </c>
      <c r="K1605" s="465" t="e">
        <v>#N/A</v>
      </c>
      <c r="L1605" s="464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9" t="e">
        <v>#N/A</v>
      </c>
      <c r="E1606" s="409" t="e">
        <v>#N/A</v>
      </c>
      <c r="F1606" s="409" t="e">
        <v>#N/A</v>
      </c>
      <c r="G1606" s="409" t="e">
        <v>#N/A</v>
      </c>
      <c r="H1606" s="465" t="e">
        <v>#N/A</v>
      </c>
      <c r="I1606" s="465" t="e">
        <v>#N/A</v>
      </c>
      <c r="J1606" s="465" t="e">
        <v>#N/A</v>
      </c>
      <c r="K1606" s="465" t="e">
        <v>#N/A</v>
      </c>
      <c r="L1606" s="464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9" t="e">
        <v>#N/A</v>
      </c>
      <c r="E1607" s="409" t="e">
        <v>#N/A</v>
      </c>
      <c r="F1607" s="409" t="e">
        <v>#N/A</v>
      </c>
      <c r="G1607" s="409" t="e">
        <v>#N/A</v>
      </c>
      <c r="H1607" s="465" t="e">
        <v>#N/A</v>
      </c>
      <c r="I1607" s="465" t="e">
        <v>#N/A</v>
      </c>
      <c r="J1607" s="465" t="e">
        <v>#N/A</v>
      </c>
      <c r="K1607" s="465" t="e">
        <v>#N/A</v>
      </c>
      <c r="L1607" s="464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9" t="e">
        <v>#N/A</v>
      </c>
      <c r="E1608" s="409" t="e">
        <v>#N/A</v>
      </c>
      <c r="F1608" s="409" t="e">
        <v>#N/A</v>
      </c>
      <c r="G1608" s="409" t="e">
        <v>#N/A</v>
      </c>
      <c r="H1608" s="465" t="e">
        <v>#N/A</v>
      </c>
      <c r="I1608" s="465" t="e">
        <v>#N/A</v>
      </c>
      <c r="J1608" s="465" t="e">
        <v>#N/A</v>
      </c>
      <c r="K1608" s="465" t="e">
        <v>#N/A</v>
      </c>
      <c r="L1608" s="464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9" t="e">
        <v>#N/A</v>
      </c>
      <c r="E1609" s="409" t="e">
        <v>#N/A</v>
      </c>
      <c r="F1609" s="409" t="e">
        <v>#N/A</v>
      </c>
      <c r="G1609" s="409" t="e">
        <v>#N/A</v>
      </c>
      <c r="H1609" s="465" t="e">
        <v>#N/A</v>
      </c>
      <c r="I1609" s="465" t="e">
        <v>#N/A</v>
      </c>
      <c r="J1609" s="465" t="e">
        <v>#N/A</v>
      </c>
      <c r="K1609" s="465" t="e">
        <v>#N/A</v>
      </c>
      <c r="L1609" s="464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9" t="e">
        <v>#N/A</v>
      </c>
      <c r="E1610" s="409" t="e">
        <v>#N/A</v>
      </c>
      <c r="F1610" s="409" t="e">
        <v>#N/A</v>
      </c>
      <c r="G1610" s="409" t="e">
        <v>#N/A</v>
      </c>
      <c r="H1610" s="465" t="e">
        <v>#N/A</v>
      </c>
      <c r="I1610" s="465" t="e">
        <v>#N/A</v>
      </c>
      <c r="J1610" s="465" t="e">
        <v>#N/A</v>
      </c>
      <c r="K1610" s="465" t="e">
        <v>#N/A</v>
      </c>
      <c r="L1610" s="464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spodný profil 2m elox strieborný</v>
      </c>
      <c r="C1611" s="185">
        <f t="shared" si="51"/>
        <v>0</v>
      </c>
      <c r="D1611" s="409" t="s">
        <v>7862</v>
      </c>
      <c r="E1611" s="409" t="s">
        <v>7863</v>
      </c>
      <c r="F1611" s="409" t="s">
        <v>7864</v>
      </c>
      <c r="G1611" s="409" t="s">
        <v>7865</v>
      </c>
      <c r="H1611" s="465">
        <v>0</v>
      </c>
      <c r="I1611" s="465">
        <v>0</v>
      </c>
      <c r="J1611" s="465">
        <v>0</v>
      </c>
      <c r="K1611" s="465">
        <v>0</v>
      </c>
      <c r="L1611" s="464" t="s">
        <v>540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9" t="e">
        <v>#N/A</v>
      </c>
      <c r="E1612" s="409" t="e">
        <v>#N/A</v>
      </c>
      <c r="F1612" s="409" t="e">
        <v>#N/A</v>
      </c>
      <c r="G1612" s="409" t="e">
        <v>#N/A</v>
      </c>
      <c r="H1612" s="465" t="e">
        <v>#N/A</v>
      </c>
      <c r="I1612" s="465" t="e">
        <v>#N/A</v>
      </c>
      <c r="J1612" s="465" t="e">
        <v>#N/A</v>
      </c>
      <c r="K1612" s="465" t="e">
        <v>#N/A</v>
      </c>
      <c r="L1612" s="464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str">
        <f t="shared" si="50"/>
        <v>SEVROLL profil "U" Mini 36 na DTD 2x18mm strieborná 3m</v>
      </c>
      <c r="C1613" s="185" t="e">
        <f t="shared" si="51"/>
        <v>#N/A</v>
      </c>
      <c r="D1613" s="409" t="s">
        <v>1430</v>
      </c>
      <c r="E1613" s="409" t="s">
        <v>1870</v>
      </c>
      <c r="F1613" s="409" t="s">
        <v>2176</v>
      </c>
      <c r="G1613" s="409" t="s">
        <v>2410</v>
      </c>
      <c r="H1613" s="465" t="e">
        <v>#N/A</v>
      </c>
      <c r="I1613" s="465" t="e">
        <v>#N/A</v>
      </c>
      <c r="J1613" s="465" t="e">
        <v>#N/A</v>
      </c>
      <c r="K1613" s="465" t="e">
        <v>#N/A</v>
      </c>
      <c r="L1613" s="464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9" t="e">
        <v>#N/A</v>
      </c>
      <c r="E1614" s="409" t="e">
        <v>#N/A</v>
      </c>
      <c r="F1614" s="409" t="e">
        <v>#N/A</v>
      </c>
      <c r="G1614" s="409" t="e">
        <v>#N/A</v>
      </c>
      <c r="H1614" s="465" t="e">
        <v>#N/A</v>
      </c>
      <c r="I1614" s="465" t="e">
        <v>#N/A</v>
      </c>
      <c r="J1614" s="465" t="e">
        <v>#N/A</v>
      </c>
      <c r="K1614" s="465" t="e">
        <v>#N/A</v>
      </c>
      <c r="L1614" s="464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9" t="e">
        <v>#N/A</v>
      </c>
      <c r="E1615" s="409" t="e">
        <v>#N/A</v>
      </c>
      <c r="F1615" s="409" t="e">
        <v>#N/A</v>
      </c>
      <c r="G1615" s="409" t="e">
        <v>#N/A</v>
      </c>
      <c r="H1615" s="465" t="e">
        <v>#N/A</v>
      </c>
      <c r="I1615" s="465" t="e">
        <v>#N/A</v>
      </c>
      <c r="J1615" s="465" t="e">
        <v>#N/A</v>
      </c>
      <c r="K1615" s="465" t="e">
        <v>#N/A</v>
      </c>
      <c r="L1615" s="464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9" t="e">
        <v>#N/A</v>
      </c>
      <c r="E1616" s="409" t="e">
        <v>#N/A</v>
      </c>
      <c r="F1616" s="409" t="e">
        <v>#N/A</v>
      </c>
      <c r="G1616" s="409" t="e">
        <v>#N/A</v>
      </c>
      <c r="H1616" s="465" t="e">
        <v>#N/A</v>
      </c>
      <c r="I1616" s="465" t="e">
        <v>#N/A</v>
      </c>
      <c r="J1616" s="465" t="e">
        <v>#N/A</v>
      </c>
      <c r="K1616" s="465" t="e">
        <v>#N/A</v>
      </c>
      <c r="L1616" s="464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9" t="e">
        <v>#N/A</v>
      </c>
      <c r="E1617" s="409" t="e">
        <v>#N/A</v>
      </c>
      <c r="F1617" s="409" t="e">
        <v>#N/A</v>
      </c>
      <c r="G1617" s="409" t="e">
        <v>#N/A</v>
      </c>
      <c r="H1617" s="465" t="e">
        <v>#N/A</v>
      </c>
      <c r="I1617" s="465" t="e">
        <v>#N/A</v>
      </c>
      <c r="J1617" s="465" t="e">
        <v>#N/A</v>
      </c>
      <c r="K1617" s="465" t="e">
        <v>#N/A</v>
      </c>
      <c r="L1617" s="464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napínacia výstuha 2690mm</v>
      </c>
      <c r="C1618" s="185">
        <f t="shared" si="51"/>
        <v>31.3</v>
      </c>
      <c r="D1618" s="409" t="s">
        <v>7866</v>
      </c>
      <c r="E1618" s="409" t="s">
        <v>7867</v>
      </c>
      <c r="F1618" s="409" t="s">
        <v>7868</v>
      </c>
      <c r="G1618" s="409" t="s">
        <v>7869</v>
      </c>
      <c r="H1618" s="465">
        <v>749</v>
      </c>
      <c r="I1618" s="465">
        <v>31.3</v>
      </c>
      <c r="J1618" s="465">
        <v>32.338569999999997</v>
      </c>
      <c r="K1618" s="465">
        <v>5354.32258</v>
      </c>
      <c r="L1618" s="464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horné vedenie 2,35m čierna lesk</v>
      </c>
      <c r="C1619" s="185">
        <f t="shared" si="51"/>
        <v>25.450099999999999</v>
      </c>
      <c r="D1619" s="409" t="s">
        <v>1431</v>
      </c>
      <c r="E1619" s="409" t="s">
        <v>1871</v>
      </c>
      <c r="F1619" s="409" t="s">
        <v>5894</v>
      </c>
      <c r="G1619" s="409" t="s">
        <v>5895</v>
      </c>
      <c r="H1619" s="465">
        <v>707.82552999999996</v>
      </c>
      <c r="I1619" s="465">
        <v>25.450099999999999</v>
      </c>
      <c r="J1619" s="465">
        <v>103.20359999999999</v>
      </c>
      <c r="K1619" s="465">
        <v>10143.473319999999</v>
      </c>
      <c r="L1619" s="464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spodné vedenie 2,35m čierna lesk</v>
      </c>
      <c r="C1620" s="185">
        <f t="shared" si="51"/>
        <v>14.91095</v>
      </c>
      <c r="D1620" s="409" t="s">
        <v>1432</v>
      </c>
      <c r="E1620" s="409" t="s">
        <v>1872</v>
      </c>
      <c r="F1620" s="409" t="s">
        <v>5896</v>
      </c>
      <c r="G1620" s="409" t="s">
        <v>5897</v>
      </c>
      <c r="H1620" s="465">
        <v>414.70758000000001</v>
      </c>
      <c r="I1620" s="465">
        <v>14.91095</v>
      </c>
      <c r="J1620" s="465">
        <v>56.242800000000003</v>
      </c>
      <c r="K1620" s="465">
        <v>5942.9550600000002</v>
      </c>
      <c r="L1620" s="464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maska Elegant II 2,35m čierna lesk</v>
      </c>
      <c r="C1621" s="185">
        <f t="shared" si="51"/>
        <v>4.6059999999999999</v>
      </c>
      <c r="D1621" s="409" t="s">
        <v>1433</v>
      </c>
      <c r="E1621" s="409" t="s">
        <v>1873</v>
      </c>
      <c r="F1621" s="409" t="s">
        <v>5898</v>
      </c>
      <c r="G1621" s="409" t="s">
        <v>2411</v>
      </c>
      <c r="H1621" s="465">
        <v>128.10339999999999</v>
      </c>
      <c r="I1621" s="465">
        <v>4.6059999999999999</v>
      </c>
      <c r="J1621" s="465">
        <v>16.870799999999999</v>
      </c>
      <c r="K1621" s="465">
        <v>1835.78208</v>
      </c>
      <c r="L1621" s="464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tlmič Central obojstranná+spodná antikolizia</v>
      </c>
      <c r="C1622" s="185">
        <f t="shared" si="51"/>
        <v>25.399760000000001</v>
      </c>
      <c r="D1622" s="409" t="s">
        <v>7870</v>
      </c>
      <c r="E1622" s="409" t="s">
        <v>7871</v>
      </c>
      <c r="F1622" s="409" t="s">
        <v>7872</v>
      </c>
      <c r="G1622" s="409" t="s">
        <v>7873</v>
      </c>
      <c r="H1622" s="465">
        <v>666.73152000000005</v>
      </c>
      <c r="I1622" s="465">
        <v>25.399760000000001</v>
      </c>
      <c r="J1622" s="465">
        <v>108.99469999999999</v>
      </c>
      <c r="K1622" s="465">
        <v>10251.89328</v>
      </c>
      <c r="L1622" s="464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sada pre 3 krídla plné tlmenie, stredový tlmič, antikolízia</v>
      </c>
      <c r="C1623" s="185">
        <f t="shared" si="51"/>
        <v>138.47977</v>
      </c>
      <c r="D1623" s="409" t="s">
        <v>7874</v>
      </c>
      <c r="E1623" s="409" t="s">
        <v>7875</v>
      </c>
      <c r="F1623" s="409" t="s">
        <v>7876</v>
      </c>
      <c r="G1623" s="409" t="s">
        <v>7877</v>
      </c>
      <c r="H1623" s="465">
        <v>3635.0261999999998</v>
      </c>
      <c r="I1623" s="465">
        <v>138.47977</v>
      </c>
      <c r="J1623" s="465">
        <v>594.24008000000003</v>
      </c>
      <c r="K1623" s="465">
        <v>55893.413630000003</v>
      </c>
      <c r="L1623" s="464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sada kovania pre vnútorné dvere</v>
      </c>
      <c r="C1624" s="185">
        <f t="shared" si="51"/>
        <v>13.32357</v>
      </c>
      <c r="D1624" s="409" t="s">
        <v>1434</v>
      </c>
      <c r="E1624" s="409" t="s">
        <v>5899</v>
      </c>
      <c r="F1624" s="409" t="s">
        <v>5900</v>
      </c>
      <c r="G1624" s="409" t="s">
        <v>5901</v>
      </c>
      <c r="H1624" s="465">
        <v>370.55896000000001</v>
      </c>
      <c r="I1624" s="465">
        <v>13.32357</v>
      </c>
      <c r="J1624" s="465">
        <v>46.430399999999999</v>
      </c>
      <c r="K1624" s="465">
        <v>5310.2844699999996</v>
      </c>
      <c r="L1624" s="464" t="s">
        <v>539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vozík pre interiérové dvere Simple 18 Inter/Galaxy 35/50kg</v>
      </c>
      <c r="C1625" s="185">
        <f t="shared" si="51"/>
        <v>8.6395</v>
      </c>
      <c r="D1625" s="409" t="s">
        <v>1435</v>
      </c>
      <c r="E1625" s="409" t="s">
        <v>5902</v>
      </c>
      <c r="F1625" s="409" t="s">
        <v>5903</v>
      </c>
      <c r="G1625" s="409" t="s">
        <v>2412</v>
      </c>
      <c r="H1625" s="465">
        <v>229.04801</v>
      </c>
      <c r="I1625" s="465">
        <v>8.6395</v>
      </c>
      <c r="J1625" s="465">
        <v>29.475570000000001</v>
      </c>
      <c r="K1625" s="465">
        <v>3345.8016699999998</v>
      </c>
      <c r="L1625" s="464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tĺmič pre interiérové dvere Simple 18 Galaxy 50kg</v>
      </c>
      <c r="C1626" s="185">
        <f t="shared" si="51"/>
        <v>25.398060000000001</v>
      </c>
      <c r="D1626" s="409" t="s">
        <v>1436</v>
      </c>
      <c r="E1626" s="409" t="s">
        <v>5904</v>
      </c>
      <c r="F1626" s="409" t="s">
        <v>5905</v>
      </c>
      <c r="G1626" s="409" t="s">
        <v>2413</v>
      </c>
      <c r="H1626" s="465">
        <v>673.34596999999997</v>
      </c>
      <c r="I1626" s="465">
        <v>25.398060000000001</v>
      </c>
      <c r="J1626" s="465">
        <v>86.651060000000001</v>
      </c>
      <c r="K1626" s="465">
        <v>9835.8510999999999</v>
      </c>
      <c r="L1626" s="464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/>
      </c>
      <c r="C1627" s="185">
        <f t="shared" si="51"/>
        <v>17.279</v>
      </c>
      <c r="D1627" s="409" t="s">
        <v>1437</v>
      </c>
      <c r="E1627" s="409" t="s">
        <v>5906</v>
      </c>
      <c r="F1627" s="409" t="s">
        <v>68</v>
      </c>
      <c r="G1627" s="409" t="s">
        <v>2414</v>
      </c>
      <c r="H1627" s="465">
        <v>458.09602000000001</v>
      </c>
      <c r="I1627" s="465">
        <v>17.279</v>
      </c>
      <c r="J1627" s="465">
        <v>58.951140000000002</v>
      </c>
      <c r="K1627" s="465">
        <v>6691.6033399999997</v>
      </c>
      <c r="L1627" s="464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str">
        <f t="shared" si="50"/>
        <v>SEVROLL 214-695 krycia lišta Herkules II 2m strieborná</v>
      </c>
      <c r="C1628" s="185" t="e">
        <f t="shared" si="51"/>
        <v>#N/A</v>
      </c>
      <c r="D1628" s="409" t="s">
        <v>1438</v>
      </c>
      <c r="E1628" s="409" t="s">
        <v>1874</v>
      </c>
      <c r="F1628" s="409" t="s">
        <v>5907</v>
      </c>
      <c r="G1628" s="409" t="s">
        <v>5908</v>
      </c>
      <c r="H1628" s="465" t="e">
        <v>#N/A</v>
      </c>
      <c r="I1628" s="465" t="e">
        <v>#N/A</v>
      </c>
      <c r="J1628" s="465" t="e">
        <v>#N/A</v>
      </c>
      <c r="K1628" s="465" t="e">
        <v>#N/A</v>
      </c>
      <c r="L1628" s="464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str">
        <f t="shared" si="50"/>
        <v>SEVROLL 214-615 krycia lišta Herkules Wood 2m strieborná</v>
      </c>
      <c r="C1629" s="185" t="e">
        <f t="shared" si="51"/>
        <v>#N/A</v>
      </c>
      <c r="D1629" s="409" t="s">
        <v>1439</v>
      </c>
      <c r="E1629" s="409" t="s">
        <v>1875</v>
      </c>
      <c r="F1629" s="409" t="s">
        <v>5909</v>
      </c>
      <c r="G1629" s="409" t="s">
        <v>5910</v>
      </c>
      <c r="H1629" s="465" t="e">
        <v>#N/A</v>
      </c>
      <c r="I1629" s="465" t="e">
        <v>#N/A</v>
      </c>
      <c r="J1629" s="465" t="e">
        <v>#N/A</v>
      </c>
      <c r="K1629" s="465" t="e">
        <v>#N/A</v>
      </c>
      <c r="L1629" s="464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str">
        <f t="shared" si="50"/>
        <v>SEVROLL 219-036 Herkules Wood sada krycia lišta strieborná, 2x krytka a kefka</v>
      </c>
      <c r="C1630" s="185" t="e">
        <f t="shared" si="51"/>
        <v>#N/A</v>
      </c>
      <c r="D1630" s="409" t="s">
        <v>1440</v>
      </c>
      <c r="E1630" s="409" t="s">
        <v>1876</v>
      </c>
      <c r="F1630" s="409" t="s">
        <v>5911</v>
      </c>
      <c r="G1630" s="409" t="s">
        <v>5912</v>
      </c>
      <c r="H1630" s="465" t="e">
        <v>#N/A</v>
      </c>
      <c r="I1630" s="465" t="e">
        <v>#N/A</v>
      </c>
      <c r="J1630" s="465" t="e">
        <v>#N/A</v>
      </c>
      <c r="K1630" s="465" t="e">
        <v>#N/A</v>
      </c>
      <c r="L1630" s="464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9" t="e">
        <v>#N/A</v>
      </c>
      <c r="E1631" s="409" t="e">
        <v>#N/A</v>
      </c>
      <c r="F1631" s="409" t="e">
        <v>#N/A</v>
      </c>
      <c r="G1631" s="409" t="e">
        <v>#N/A</v>
      </c>
      <c r="H1631" s="465" t="e">
        <v>#N/A</v>
      </c>
      <c r="I1631" s="465" t="e">
        <v>#N/A</v>
      </c>
      <c r="J1631" s="465" t="e">
        <v>#N/A</v>
      </c>
      <c r="K1631" s="465" t="e">
        <v>#N/A</v>
      </c>
      <c r="L1631" s="464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9" t="e">
        <v>#N/A</v>
      </c>
      <c r="E1632" s="409" t="e">
        <v>#N/A</v>
      </c>
      <c r="F1632" s="409" t="e">
        <v>#N/A</v>
      </c>
      <c r="G1632" s="409" t="e">
        <v>#N/A</v>
      </c>
      <c r="H1632" s="465" t="e">
        <v>#N/A</v>
      </c>
      <c r="I1632" s="465" t="e">
        <v>#N/A</v>
      </c>
      <c r="J1632" s="465" t="e">
        <v>#N/A</v>
      </c>
      <c r="K1632" s="465" t="e">
        <v>#N/A</v>
      </c>
      <c r="L1632" s="464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9" t="e">
        <v>#N/A</v>
      </c>
      <c r="E1633" s="409" t="e">
        <v>#N/A</v>
      </c>
      <c r="F1633" s="409" t="e">
        <v>#N/A</v>
      </c>
      <c r="G1633" s="409" t="e">
        <v>#N/A</v>
      </c>
      <c r="H1633" s="465" t="e">
        <v>#N/A</v>
      </c>
      <c r="I1633" s="465" t="e">
        <v>#N/A</v>
      </c>
      <c r="J1633" s="465" t="e">
        <v>#N/A</v>
      </c>
      <c r="K1633" s="465" t="e">
        <v>#N/A</v>
      </c>
      <c r="L1633" s="464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9" t="e">
        <v>#N/A</v>
      </c>
      <c r="E1634" s="409" t="e">
        <v>#N/A</v>
      </c>
      <c r="F1634" s="409" t="e">
        <v>#N/A</v>
      </c>
      <c r="G1634" s="409" t="e">
        <v>#N/A</v>
      </c>
      <c r="H1634" s="465" t="e">
        <v>#N/A</v>
      </c>
      <c r="I1634" s="465" t="e">
        <v>#N/A</v>
      </c>
      <c r="J1634" s="465" t="e">
        <v>#N/A</v>
      </c>
      <c r="K1634" s="465" t="e">
        <v>#N/A</v>
      </c>
      <c r="L1634" s="464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 S10N strieborny elox 2,7m</v>
      </c>
      <c r="C1635" s="185">
        <f t="shared" si="51"/>
        <v>27.889749999999999</v>
      </c>
      <c r="D1635" s="409" t="s">
        <v>7878</v>
      </c>
      <c r="E1635" s="409" t="s">
        <v>7879</v>
      </c>
      <c r="F1635" s="409" t="s">
        <v>7880</v>
      </c>
      <c r="G1635" s="409" t="s">
        <v>7881</v>
      </c>
      <c r="H1635" s="465">
        <v>682.86400000000003</v>
      </c>
      <c r="I1635" s="465">
        <v>27.889749999999999</v>
      </c>
      <c r="J1635" s="465">
        <v>127.52678</v>
      </c>
      <c r="K1635" s="465">
        <v>12288.645500000001</v>
      </c>
      <c r="L1635" s="464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horný a stredný profil 4/18mm 6m sivá</v>
      </c>
      <c r="C1636" s="185">
        <f t="shared" si="51"/>
        <v>0</v>
      </c>
      <c r="D1636" s="409" t="s">
        <v>7882</v>
      </c>
      <c r="E1636" s="409" t="s">
        <v>7883</v>
      </c>
      <c r="F1636" s="409" t="s">
        <v>7884</v>
      </c>
      <c r="G1636" s="409" t="s">
        <v>7885</v>
      </c>
      <c r="H1636" s="465">
        <v>0</v>
      </c>
      <c r="I1636" s="465">
        <v>0</v>
      </c>
      <c r="J1636" s="465">
        <v>0</v>
      </c>
      <c r="K1636" s="465">
        <v>0</v>
      </c>
      <c r="L1636" s="464" t="s">
        <v>540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dolný profil 4/18mm 6m strieborný</v>
      </c>
      <c r="C1637" s="185">
        <f t="shared" si="51"/>
        <v>0</v>
      </c>
      <c r="D1637" s="409" t="s">
        <v>7886</v>
      </c>
      <c r="E1637" s="409" t="s">
        <v>7887</v>
      </c>
      <c r="F1637" s="409" t="s">
        <v>7888</v>
      </c>
      <c r="G1637" s="409" t="s">
        <v>7889</v>
      </c>
      <c r="H1637" s="465">
        <v>0</v>
      </c>
      <c r="I1637" s="465">
        <v>0</v>
      </c>
      <c r="J1637" s="465">
        <v>0</v>
      </c>
      <c r="K1637" s="465">
        <v>0</v>
      </c>
      <c r="L1637" s="464" t="s">
        <v>540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dolný vodiaci profil 6m strieborný</v>
      </c>
      <c r="C1638" s="185">
        <f t="shared" si="51"/>
        <v>0</v>
      </c>
      <c r="D1638" s="409" t="s">
        <v>7890</v>
      </c>
      <c r="E1638" s="409" t="s">
        <v>7891</v>
      </c>
      <c r="F1638" s="409" t="s">
        <v>7892</v>
      </c>
      <c r="G1638" s="409" t="s">
        <v>7893</v>
      </c>
      <c r="H1638" s="465">
        <v>0</v>
      </c>
      <c r="I1638" s="465">
        <v>0</v>
      </c>
      <c r="J1638" s="465">
        <v>0</v>
      </c>
      <c r="K1638" s="465">
        <v>0</v>
      </c>
      <c r="L1638" s="464" t="s">
        <v>540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9" t="e">
        <v>#N/A</v>
      </c>
      <c r="E1639" s="409" t="e">
        <v>#N/A</v>
      </c>
      <c r="F1639" s="409" t="e">
        <v>#N/A</v>
      </c>
      <c r="G1639" s="409" t="e">
        <v>#N/A</v>
      </c>
      <c r="H1639" s="465" t="e">
        <v>#N/A</v>
      </c>
      <c r="I1639" s="465" t="e">
        <v>#N/A</v>
      </c>
      <c r="J1639" s="465" t="e">
        <v>#N/A</v>
      </c>
      <c r="K1639" s="465" t="e">
        <v>#N/A</v>
      </c>
      <c r="L1639" s="464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9" t="e">
        <v>#N/A</v>
      </c>
      <c r="E1640" s="409" t="e">
        <v>#N/A</v>
      </c>
      <c r="F1640" s="409" t="e">
        <v>#N/A</v>
      </c>
      <c r="G1640" s="409" t="e">
        <v>#N/A</v>
      </c>
      <c r="H1640" s="465" t="e">
        <v>#N/A</v>
      </c>
      <c r="I1640" s="465" t="e">
        <v>#N/A</v>
      </c>
      <c r="J1640" s="465" t="e">
        <v>#N/A</v>
      </c>
      <c r="K1640" s="465" t="e">
        <v>#N/A</v>
      </c>
      <c r="L1640" s="464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9" t="e">
        <v>#N/A</v>
      </c>
      <c r="E1641" s="409" t="e">
        <v>#N/A</v>
      </c>
      <c r="F1641" s="409" t="e">
        <v>#N/A</v>
      </c>
      <c r="G1641" s="409" t="e">
        <v>#N/A</v>
      </c>
      <c r="H1641" s="465" t="e">
        <v>#N/A</v>
      </c>
      <c r="I1641" s="465" t="e">
        <v>#N/A</v>
      </c>
      <c r="J1641" s="465" t="e">
        <v>#N/A</v>
      </c>
      <c r="K1641" s="465" t="e">
        <v>#N/A</v>
      </c>
      <c r="L1641" s="464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napínacia vzpera 2390mm</v>
      </c>
      <c r="C1642" s="185">
        <f t="shared" si="51"/>
        <v>31.3</v>
      </c>
      <c r="D1642" s="409" t="s">
        <v>7894</v>
      </c>
      <c r="E1642" s="409" t="s">
        <v>7895</v>
      </c>
      <c r="F1642" s="409" t="s">
        <v>7896</v>
      </c>
      <c r="G1642" s="409" t="s">
        <v>7897</v>
      </c>
      <c r="H1642" s="465">
        <v>749</v>
      </c>
      <c r="I1642" s="465">
        <v>31.3</v>
      </c>
      <c r="J1642" s="465">
        <v>27.606100000000001</v>
      </c>
      <c r="K1642" s="465">
        <v>2656.3219199999999</v>
      </c>
      <c r="L1642" s="464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StrongLine Synchrotec sada plynulého otvárania 1,35m</v>
      </c>
      <c r="C1643" s="185">
        <f t="shared" si="51"/>
        <v>22.961819999999999</v>
      </c>
      <c r="D1643" s="409" t="s">
        <v>7898</v>
      </c>
      <c r="E1643" s="409" t="s">
        <v>7899</v>
      </c>
      <c r="F1643" s="409" t="s">
        <v>7900</v>
      </c>
      <c r="G1643" s="409" t="s">
        <v>7901</v>
      </c>
      <c r="H1643" s="465">
        <v>642.91967999999997</v>
      </c>
      <c r="I1643" s="465">
        <v>22.961819999999999</v>
      </c>
      <c r="J1643" s="465">
        <v>104.03297999999999</v>
      </c>
      <c r="K1643" s="465">
        <v>9203.0841299999993</v>
      </c>
      <c r="L1643" s="464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9" t="e">
        <v>#N/A</v>
      </c>
      <c r="E1644" s="409" t="e">
        <v>#N/A</v>
      </c>
      <c r="F1644" s="409" t="e">
        <v>#N/A</v>
      </c>
      <c r="G1644" s="409" t="e">
        <v>#N/A</v>
      </c>
      <c r="H1644" s="465" t="e">
        <v>#N/A</v>
      </c>
      <c r="I1644" s="465" t="e">
        <v>#N/A</v>
      </c>
      <c r="J1644" s="465" t="e">
        <v>#N/A</v>
      </c>
      <c r="K1644" s="465" t="e">
        <v>#N/A</v>
      </c>
      <c r="L1644" s="464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S-doraz dolný S06N/NN</v>
      </c>
      <c r="C1645" s="185">
        <f t="shared" si="51"/>
        <v>1.1298699999999999</v>
      </c>
      <c r="D1645" s="409" t="s">
        <v>7902</v>
      </c>
      <c r="E1645" s="409" t="s">
        <v>7903</v>
      </c>
      <c r="F1645" s="409" t="s">
        <v>7904</v>
      </c>
      <c r="G1645" s="409" t="s">
        <v>7905</v>
      </c>
      <c r="H1645" s="465">
        <v>27.664000000000001</v>
      </c>
      <c r="I1645" s="465">
        <v>1.1298699999999999</v>
      </c>
      <c r="J1645" s="465">
        <v>5.1164300000000003</v>
      </c>
      <c r="K1645" s="465">
        <v>479.65805999999998</v>
      </c>
      <c r="L1645" s="464" t="s">
        <v>537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S-šroub torx 4x40</v>
      </c>
      <c r="C1646" s="185">
        <f t="shared" si="51"/>
        <v>0</v>
      </c>
      <c r="D1646" s="409" t="s">
        <v>7906</v>
      </c>
      <c r="E1646" s="409" t="s">
        <v>7907</v>
      </c>
      <c r="F1646" s="409" t="s">
        <v>7906</v>
      </c>
      <c r="G1646" s="409" t="s">
        <v>7908</v>
      </c>
      <c r="H1646" s="465">
        <v>0</v>
      </c>
      <c r="I1646" s="465">
        <v>0</v>
      </c>
      <c r="J1646" s="465">
        <v>0</v>
      </c>
      <c r="K1646" s="465">
        <v>0</v>
      </c>
      <c r="L1646" s="464" t="s">
        <v>540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S-brzda pozicionér horný S05</v>
      </c>
      <c r="C1647" s="185">
        <f t="shared" si="51"/>
        <v>1.1298699999999999</v>
      </c>
      <c r="D1647" s="409" t="s">
        <v>7909</v>
      </c>
      <c r="E1647" s="409" t="s">
        <v>7910</v>
      </c>
      <c r="F1647" s="409" t="s">
        <v>7911</v>
      </c>
      <c r="G1647" s="409" t="s">
        <v>68</v>
      </c>
      <c r="H1647" s="465">
        <v>27.664000000000001</v>
      </c>
      <c r="I1647" s="465">
        <v>1.1298699999999999</v>
      </c>
      <c r="J1647" s="465">
        <v>5.1164300000000003</v>
      </c>
      <c r="K1647" s="465">
        <v>479.65805999999998</v>
      </c>
      <c r="L1647" s="464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IC-úchytová lišta Berlin 10mm EU šampáň 5,3m</v>
      </c>
      <c r="C1648" s="185">
        <f t="shared" si="51"/>
        <v>30.457360000000001</v>
      </c>
      <c r="D1648" s="409" t="s">
        <v>7912</v>
      </c>
      <c r="E1648" s="409" t="s">
        <v>7913</v>
      </c>
      <c r="F1648" s="409" t="s">
        <v>7912</v>
      </c>
      <c r="G1648" s="409" t="s">
        <v>7914</v>
      </c>
      <c r="H1648" s="465">
        <v>1234.625</v>
      </c>
      <c r="I1648" s="465">
        <v>30.457360000000001</v>
      </c>
      <c r="J1648" s="465">
        <v>163.06379999999999</v>
      </c>
      <c r="K1648" s="465">
        <v>24851.80646</v>
      </c>
      <c r="L1648" s="464" t="s">
        <v>539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úchytová lišta 2,7m strieborná</v>
      </c>
      <c r="C1649" s="185">
        <f t="shared" si="51"/>
        <v>23.446359999999999</v>
      </c>
      <c r="D1649" s="409" t="s">
        <v>1441</v>
      </c>
      <c r="E1649" s="409" t="s">
        <v>1877</v>
      </c>
      <c r="F1649" s="409" t="s">
        <v>5913</v>
      </c>
      <c r="G1649" s="409" t="s">
        <v>2415</v>
      </c>
      <c r="H1649" s="465">
        <v>652.09693000000004</v>
      </c>
      <c r="I1649" s="465">
        <v>23.446359999999999</v>
      </c>
      <c r="J1649" s="465">
        <v>89.892600000000002</v>
      </c>
      <c r="K1649" s="465">
        <v>9344.8561699999991</v>
      </c>
      <c r="L1649" s="464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horná vodiaca lišta 3m strieborná</v>
      </c>
      <c r="C1650" s="185">
        <f t="shared" si="51"/>
        <v>26.90737</v>
      </c>
      <c r="D1650" s="409" t="s">
        <v>1442</v>
      </c>
      <c r="E1650" s="409" t="s">
        <v>1878</v>
      </c>
      <c r="F1650" s="409" t="s">
        <v>5914</v>
      </c>
      <c r="G1650" s="409" t="s">
        <v>2416</v>
      </c>
      <c r="H1650" s="465">
        <v>748.35540000000003</v>
      </c>
      <c r="I1650" s="465">
        <v>26.90737</v>
      </c>
      <c r="J1650" s="465">
        <v>103.20359999999999</v>
      </c>
      <c r="K1650" s="465">
        <v>10724.285449999999</v>
      </c>
      <c r="L1650" s="464" t="s">
        <v>539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Pax XL spodná krycia lišta 3m 4mm strieborná</v>
      </c>
      <c r="C1651" s="185">
        <f t="shared" si="51"/>
        <v>29.09327</v>
      </c>
      <c r="D1651" s="409" t="s">
        <v>3343</v>
      </c>
      <c r="E1651" s="409" t="s">
        <v>1879</v>
      </c>
      <c r="F1651" s="409" t="s">
        <v>5915</v>
      </c>
      <c r="G1651" s="409" t="s">
        <v>2417</v>
      </c>
      <c r="H1651" s="465">
        <v>809.15025000000003</v>
      </c>
      <c r="I1651" s="465">
        <v>29.09327</v>
      </c>
      <c r="J1651" s="465">
        <v>111.6186</v>
      </c>
      <c r="K1651" s="465">
        <v>11595.50424</v>
      </c>
      <c r="L1651" s="464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tesnenie pre profil Pax XL</v>
      </c>
      <c r="C1652" s="185">
        <f t="shared" si="51"/>
        <v>0.59852000000000005</v>
      </c>
      <c r="D1652" s="409" t="s">
        <v>1443</v>
      </c>
      <c r="E1652" s="409" t="s">
        <v>1880</v>
      </c>
      <c r="F1652" s="409" t="s">
        <v>5916</v>
      </c>
      <c r="G1652" s="409" t="s">
        <v>2418</v>
      </c>
      <c r="H1652" s="465">
        <v>17.66413</v>
      </c>
      <c r="I1652" s="465">
        <v>0.59852000000000005</v>
      </c>
      <c r="J1652" s="465">
        <v>2.1318000000000001</v>
      </c>
      <c r="K1652" s="465">
        <v>245.3083</v>
      </c>
      <c r="L1652" s="464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9" t="e">
        <v>#N/A</v>
      </c>
      <c r="E1653" s="409" t="e">
        <v>#N/A</v>
      </c>
      <c r="F1653" s="409" t="e">
        <v>#N/A</v>
      </c>
      <c r="G1653" s="409" t="e">
        <v>#N/A</v>
      </c>
      <c r="H1653" s="465" t="e">
        <v>#N/A</v>
      </c>
      <c r="I1653" s="465" t="e">
        <v>#N/A</v>
      </c>
      <c r="J1653" s="465" t="e">
        <v>#N/A</v>
      </c>
      <c r="K1653" s="465" t="e">
        <v>#N/A</v>
      </c>
      <c r="L1653" s="464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9" t="e">
        <v>#N/A</v>
      </c>
      <c r="E1654" s="409" t="e">
        <v>#N/A</v>
      </c>
      <c r="F1654" s="409" t="e">
        <v>#N/A</v>
      </c>
      <c r="G1654" s="409" t="e">
        <v>#N/A</v>
      </c>
      <c r="H1654" s="465" t="e">
        <v>#N/A</v>
      </c>
      <c r="I1654" s="465" t="e">
        <v>#N/A</v>
      </c>
      <c r="J1654" s="465" t="e">
        <v>#N/A</v>
      </c>
      <c r="K1654" s="465" t="e">
        <v>#N/A</v>
      </c>
      <c r="L1654" s="464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9" t="e">
        <v>#N/A</v>
      </c>
      <c r="E1655" s="409" t="e">
        <v>#N/A</v>
      </c>
      <c r="F1655" s="409" t="e">
        <v>#N/A</v>
      </c>
      <c r="G1655" s="409" t="e">
        <v>#N/A</v>
      </c>
      <c r="H1655" s="465" t="e">
        <v>#N/A</v>
      </c>
      <c r="I1655" s="465" t="e">
        <v>#N/A</v>
      </c>
      <c r="J1655" s="465" t="e">
        <v>#N/A</v>
      </c>
      <c r="K1655" s="465" t="e">
        <v>#N/A</v>
      </c>
      <c r="L1655" s="464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9" t="e">
        <v>#N/A</v>
      </c>
      <c r="E1656" s="409" t="e">
        <v>#N/A</v>
      </c>
      <c r="F1656" s="409" t="e">
        <v>#N/A</v>
      </c>
      <c r="G1656" s="409" t="e">
        <v>#N/A</v>
      </c>
      <c r="H1656" s="465" t="e">
        <v>#N/A</v>
      </c>
      <c r="I1656" s="465" t="e">
        <v>#N/A</v>
      </c>
      <c r="J1656" s="465" t="e">
        <v>#N/A</v>
      </c>
      <c r="K1656" s="465" t="e">
        <v>#N/A</v>
      </c>
      <c r="L1656" s="464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9" t="e">
        <v>#N/A</v>
      </c>
      <c r="E1657" s="409" t="e">
        <v>#N/A</v>
      </c>
      <c r="F1657" s="409" t="e">
        <v>#N/A</v>
      </c>
      <c r="G1657" s="409" t="e">
        <v>#N/A</v>
      </c>
      <c r="H1657" s="465" t="e">
        <v>#N/A</v>
      </c>
      <c r="I1657" s="465" t="e">
        <v>#N/A</v>
      </c>
      <c r="J1657" s="465" t="e">
        <v>#N/A</v>
      </c>
      <c r="K1657" s="465" t="e">
        <v>#N/A</v>
      </c>
      <c r="L1657" s="464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9" t="e">
        <v>#N/A</v>
      </c>
      <c r="E1658" s="409" t="e">
        <v>#N/A</v>
      </c>
      <c r="F1658" s="409" t="e">
        <v>#N/A</v>
      </c>
      <c r="G1658" s="409" t="e">
        <v>#N/A</v>
      </c>
      <c r="H1658" s="465" t="e">
        <v>#N/A</v>
      </c>
      <c r="I1658" s="465" t="e">
        <v>#N/A</v>
      </c>
      <c r="J1658" s="465" t="e">
        <v>#N/A</v>
      </c>
      <c r="K1658" s="465" t="e">
        <v>#N/A</v>
      </c>
      <c r="L1658" s="464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9" t="e">
        <v>#N/A</v>
      </c>
      <c r="E1659" s="409" t="e">
        <v>#N/A</v>
      </c>
      <c r="F1659" s="409" t="e">
        <v>#N/A</v>
      </c>
      <c r="G1659" s="409" t="e">
        <v>#N/A</v>
      </c>
      <c r="H1659" s="465" t="e">
        <v>#N/A</v>
      </c>
      <c r="I1659" s="465" t="e">
        <v>#N/A</v>
      </c>
      <c r="J1659" s="465" t="e">
        <v>#N/A</v>
      </c>
      <c r="K1659" s="465" t="e">
        <v>#N/A</v>
      </c>
      <c r="L1659" s="464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9" t="e">
        <v>#N/A</v>
      </c>
      <c r="E1660" s="409" t="e">
        <v>#N/A</v>
      </c>
      <c r="F1660" s="409" t="e">
        <v>#N/A</v>
      </c>
      <c r="G1660" s="409" t="e">
        <v>#N/A</v>
      </c>
      <c r="H1660" s="465" t="e">
        <v>#N/A</v>
      </c>
      <c r="I1660" s="465" t="e">
        <v>#N/A</v>
      </c>
      <c r="J1660" s="465" t="e">
        <v>#N/A</v>
      </c>
      <c r="K1660" s="465" t="e">
        <v>#N/A</v>
      </c>
      <c r="L1660" s="464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str">
        <f t="shared" si="50"/>
        <v>SEVROLL 04511-M Era úchytová lišta 18mm 2,70m oliva new</v>
      </c>
      <c r="C1661" s="185" t="e">
        <f t="shared" si="51"/>
        <v>#N/A</v>
      </c>
      <c r="D1661" s="409" t="s">
        <v>1444</v>
      </c>
      <c r="E1661" s="409" t="s">
        <v>5917</v>
      </c>
      <c r="F1661" s="409" t="s">
        <v>1444</v>
      </c>
      <c r="G1661" s="409" t="s">
        <v>5918</v>
      </c>
      <c r="H1661" s="465" t="e">
        <v>#N/A</v>
      </c>
      <c r="I1661" s="465" t="e">
        <v>#N/A</v>
      </c>
      <c r="J1661" s="465" t="e">
        <v>#N/A</v>
      </c>
      <c r="K1661" s="465" t="e">
        <v>#N/A</v>
      </c>
      <c r="L1661" s="464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str">
        <f t="shared" si="50"/>
        <v>SEVROLL 04470-M Blue horné vedenie  6m oliva new</v>
      </c>
      <c r="C1662" s="185" t="e">
        <f t="shared" si="51"/>
        <v>#N/A</v>
      </c>
      <c r="D1662" s="409" t="s">
        <v>1445</v>
      </c>
      <c r="E1662" s="409" t="s">
        <v>5919</v>
      </c>
      <c r="F1662" s="409" t="s">
        <v>5920</v>
      </c>
      <c r="G1662" s="409" t="s">
        <v>5921</v>
      </c>
      <c r="H1662" s="465" t="e">
        <v>#N/A</v>
      </c>
      <c r="I1662" s="465" t="e">
        <v>#N/A</v>
      </c>
      <c r="J1662" s="465" t="e">
        <v>#N/A</v>
      </c>
      <c r="K1662" s="465" t="e">
        <v>#N/A</v>
      </c>
      <c r="L1662" s="464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str">
        <f t="shared" si="50"/>
        <v>SEVROLL 04494-M Blue-V spodné vedenie  6m oliva new</v>
      </c>
      <c r="C1663" s="185" t="e">
        <f t="shared" si="51"/>
        <v>#N/A</v>
      </c>
      <c r="D1663" s="409" t="s">
        <v>1446</v>
      </c>
      <c r="E1663" s="409" t="s">
        <v>5922</v>
      </c>
      <c r="F1663" s="409" t="s">
        <v>5923</v>
      </c>
      <c r="G1663" s="409" t="s">
        <v>5924</v>
      </c>
      <c r="H1663" s="465" t="e">
        <v>#N/A</v>
      </c>
      <c r="I1663" s="465" t="e">
        <v>#N/A</v>
      </c>
      <c r="J1663" s="465" t="e">
        <v>#N/A</v>
      </c>
      <c r="K1663" s="465" t="e">
        <v>#N/A</v>
      </c>
      <c r="L1663" s="464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str">
        <f t="shared" si="50"/>
        <v>SEVROLL 04459-M horná vodiaca lišta Simple/Blue 3m (lamino 18mm) oliva new</v>
      </c>
      <c r="C1664" s="185" t="e">
        <f t="shared" si="51"/>
        <v>#N/A</v>
      </c>
      <c r="D1664" s="409" t="s">
        <v>1447</v>
      </c>
      <c r="E1664" s="409" t="s">
        <v>5925</v>
      </c>
      <c r="F1664" s="409" t="s">
        <v>5926</v>
      </c>
      <c r="G1664" s="409" t="s">
        <v>5927</v>
      </c>
      <c r="H1664" s="465" t="e">
        <v>#N/A</v>
      </c>
      <c r="I1664" s="465" t="e">
        <v>#N/A</v>
      </c>
      <c r="J1664" s="465" t="e">
        <v>#N/A</v>
      </c>
      <c r="K1664" s="465" t="e">
        <v>#N/A</v>
      </c>
      <c r="L1664" s="464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str">
        <f t="shared" si="50"/>
        <v>SEVROLL 04451-M spodná krycia lišta Simple/Blue 3m (lamino 18mm) oliva new</v>
      </c>
      <c r="C1665" s="185" t="e">
        <f t="shared" si="51"/>
        <v>#N/A</v>
      </c>
      <c r="D1665" s="409" t="s">
        <v>1448</v>
      </c>
      <c r="E1665" s="409" t="s">
        <v>5928</v>
      </c>
      <c r="F1665" s="409" t="s">
        <v>5929</v>
      </c>
      <c r="G1665" s="409" t="s">
        <v>2419</v>
      </c>
      <c r="H1665" s="465" t="e">
        <v>#N/A</v>
      </c>
      <c r="I1665" s="465" t="e">
        <v>#N/A</v>
      </c>
      <c r="J1665" s="465" t="e">
        <v>#N/A</v>
      </c>
      <c r="K1665" s="465" t="e">
        <v>#N/A</v>
      </c>
      <c r="L1665" s="464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držiak horného vedenia pre lamino 25 - 45mm</v>
      </c>
      <c r="C1666" s="185">
        <f t="shared" si="51"/>
        <v>2.3420299999999998</v>
      </c>
      <c r="D1666" s="409" t="s">
        <v>1449</v>
      </c>
      <c r="E1666" s="409" t="s">
        <v>1881</v>
      </c>
      <c r="F1666" s="409" t="s">
        <v>5930</v>
      </c>
      <c r="G1666" s="409" t="s">
        <v>5931</v>
      </c>
      <c r="H1666" s="465">
        <v>62.091329999999999</v>
      </c>
      <c r="I1666" s="465">
        <v>2.3420299999999998</v>
      </c>
      <c r="J1666" s="465">
        <v>7.9903700000000004</v>
      </c>
      <c r="K1666" s="465">
        <v>906.99446</v>
      </c>
      <c r="L1666" s="464" t="s">
        <v>539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/>
      </c>
      <c r="C1667" s="185">
        <f t="shared" si="51"/>
        <v>0</v>
      </c>
      <c r="D1667" s="409" t="s">
        <v>1450</v>
      </c>
      <c r="E1667" s="409" t="s">
        <v>68</v>
      </c>
      <c r="F1667" s="409" t="s">
        <v>68</v>
      </c>
      <c r="G1667" s="409" t="s">
        <v>68</v>
      </c>
      <c r="H1667" s="465">
        <v>0</v>
      </c>
      <c r="I1667" s="465">
        <v>0</v>
      </c>
      <c r="J1667" s="465">
        <v>0</v>
      </c>
      <c r="K1667" s="465">
        <v>1</v>
      </c>
      <c r="L1667" s="464" t="s">
        <v>541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/>
      </c>
      <c r="C1668" s="185">
        <f t="shared" ref="C1668:C1731" si="53">IF($A$2=1,H1668,IF($A$2=2,I1668,IF($A$2=3,J1668,IF($A$2=4,K1668,IF($A$2&gt;4,O1668,"zadat jazyk")))))</f>
        <v>4.8164800000000003</v>
      </c>
      <c r="D1668" s="409" t="s">
        <v>1451</v>
      </c>
      <c r="E1668" s="409" t="s">
        <v>68</v>
      </c>
      <c r="F1668" s="409" t="s">
        <v>68</v>
      </c>
      <c r="G1668" s="409" t="s">
        <v>68</v>
      </c>
      <c r="H1668" s="465">
        <v>135.50897000000001</v>
      </c>
      <c r="I1668" s="465">
        <v>4.8164800000000003</v>
      </c>
      <c r="J1668" s="465">
        <v>18.35596</v>
      </c>
      <c r="K1668" s="465">
        <v>1886.0604800000001</v>
      </c>
      <c r="L1668" s="464" t="s">
        <v>541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/>
      </c>
      <c r="C1669" s="185">
        <f t="shared" si="53"/>
        <v>0</v>
      </c>
      <c r="D1669" s="409" t="s">
        <v>1294</v>
      </c>
      <c r="E1669" s="409" t="s">
        <v>1747</v>
      </c>
      <c r="F1669" s="409" t="s">
        <v>68</v>
      </c>
      <c r="G1669" s="409" t="s">
        <v>68</v>
      </c>
      <c r="H1669" s="465">
        <v>0</v>
      </c>
      <c r="I1669" s="465">
        <v>0</v>
      </c>
      <c r="J1669" s="465">
        <v>0</v>
      </c>
      <c r="K1669" s="465">
        <v>0</v>
      </c>
      <c r="L1669" s="464" t="s">
        <v>540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IC-lišta krycia dolné koľaje 3m alu</v>
      </c>
      <c r="C1670" s="185">
        <f t="shared" si="53"/>
        <v>4.5872599999999997</v>
      </c>
      <c r="D1670" s="409" t="s">
        <v>7915</v>
      </c>
      <c r="E1670" s="409" t="s">
        <v>7916</v>
      </c>
      <c r="F1670" s="409" t="s">
        <v>7917</v>
      </c>
      <c r="G1670" s="409" t="s">
        <v>7918</v>
      </c>
      <c r="H1670" s="465">
        <v>117.8625</v>
      </c>
      <c r="I1670" s="465">
        <v>4.5872599999999997</v>
      </c>
      <c r="J1670" s="465">
        <v>25.296199999999999</v>
      </c>
      <c r="K1670" s="465">
        <v>0</v>
      </c>
      <c r="L1670" s="464" t="s">
        <v>537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horný vodiaci profil 2m strieborný</v>
      </c>
      <c r="C1671" s="185">
        <f t="shared" si="53"/>
        <v>0</v>
      </c>
      <c r="D1671" s="409" t="s">
        <v>7919</v>
      </c>
      <c r="E1671" s="409" t="s">
        <v>7920</v>
      </c>
      <c r="F1671" s="409" t="s">
        <v>7921</v>
      </c>
      <c r="G1671" s="409" t="s">
        <v>7922</v>
      </c>
      <c r="H1671" s="465">
        <v>0</v>
      </c>
      <c r="I1671" s="465">
        <v>0</v>
      </c>
      <c r="J1671" s="465">
        <v>0</v>
      </c>
      <c r="K1671" s="465">
        <v>0</v>
      </c>
      <c r="L1671" s="464" t="s">
        <v>540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horný vodiaci profil 2m nerez</v>
      </c>
      <c r="C1672" s="185">
        <f t="shared" si="53"/>
        <v>0</v>
      </c>
      <c r="D1672" s="409" t="s">
        <v>7923</v>
      </c>
      <c r="E1672" s="409" t="s">
        <v>7924</v>
      </c>
      <c r="F1672" s="409" t="s">
        <v>7925</v>
      </c>
      <c r="G1672" s="409" t="s">
        <v>7926</v>
      </c>
      <c r="H1672" s="465">
        <v>0</v>
      </c>
      <c r="I1672" s="465">
        <v>0</v>
      </c>
      <c r="J1672" s="465">
        <v>0</v>
      </c>
      <c r="K1672" s="465">
        <v>0</v>
      </c>
      <c r="L1672" s="464" t="s">
        <v>540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spodný prefil 2m elox nerez</v>
      </c>
      <c r="C1673" s="185">
        <f t="shared" si="53"/>
        <v>0</v>
      </c>
      <c r="D1673" s="409" t="s">
        <v>7927</v>
      </c>
      <c r="E1673" s="409" t="s">
        <v>7928</v>
      </c>
      <c r="F1673" s="409" t="s">
        <v>7929</v>
      </c>
      <c r="G1673" s="409" t="s">
        <v>7930</v>
      </c>
      <c r="H1673" s="465">
        <v>0</v>
      </c>
      <c r="I1673" s="465">
        <v>0</v>
      </c>
      <c r="J1673" s="465">
        <v>0</v>
      </c>
      <c r="K1673" s="465">
        <v>0</v>
      </c>
      <c r="L1673" s="464" t="s">
        <v>540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krycí profil alu 2m nerez</v>
      </c>
      <c r="C1674" s="185">
        <f t="shared" si="53"/>
        <v>0</v>
      </c>
      <c r="D1674" s="409" t="s">
        <v>7931</v>
      </c>
      <c r="E1674" s="409" t="s">
        <v>7932</v>
      </c>
      <c r="F1674" s="409" t="s">
        <v>7931</v>
      </c>
      <c r="G1674" s="409" t="s">
        <v>7933</v>
      </c>
      <c r="H1674" s="465">
        <v>0</v>
      </c>
      <c r="I1674" s="465">
        <v>0</v>
      </c>
      <c r="J1674" s="465">
        <v>0</v>
      </c>
      <c r="K1674" s="465">
        <v>0</v>
      </c>
      <c r="L1674" s="464" t="s">
        <v>540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9" t="e">
        <v>#N/A</v>
      </c>
      <c r="E1675" s="409" t="e">
        <v>#N/A</v>
      </c>
      <c r="F1675" s="409" t="e">
        <v>#N/A</v>
      </c>
      <c r="G1675" s="409" t="e">
        <v>#N/A</v>
      </c>
      <c r="H1675" s="465" t="e">
        <v>#N/A</v>
      </c>
      <c r="I1675" s="465" t="e">
        <v>#N/A</v>
      </c>
      <c r="J1675" s="465" t="e">
        <v>#N/A</v>
      </c>
      <c r="K1675" s="465" t="e">
        <v>#N/A</v>
      </c>
      <c r="L1675" s="464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9" t="e">
        <v>#N/A</v>
      </c>
      <c r="E1676" s="409" t="e">
        <v>#N/A</v>
      </c>
      <c r="F1676" s="409" t="e">
        <v>#N/A</v>
      </c>
      <c r="G1676" s="409" t="e">
        <v>#N/A</v>
      </c>
      <c r="H1676" s="465" t="e">
        <v>#N/A</v>
      </c>
      <c r="I1676" s="465" t="e">
        <v>#N/A</v>
      </c>
      <c r="J1676" s="465" t="e">
        <v>#N/A</v>
      </c>
      <c r="K1676" s="465" t="e">
        <v>#N/A</v>
      </c>
      <c r="L1676" s="464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profil "U" pre lamino 18mm 3m čierna lesk</v>
      </c>
      <c r="C1677" s="185">
        <f t="shared" si="53"/>
        <v>6.1933800000000003</v>
      </c>
      <c r="D1677" s="409" t="s">
        <v>1452</v>
      </c>
      <c r="E1677" s="409" t="s">
        <v>1882</v>
      </c>
      <c r="F1677" s="409" t="s">
        <v>5932</v>
      </c>
      <c r="G1677" s="409" t="s">
        <v>2420</v>
      </c>
      <c r="H1677" s="465">
        <v>172.25201999999999</v>
      </c>
      <c r="I1677" s="465">
        <v>6.1933800000000003</v>
      </c>
      <c r="J1677" s="465">
        <v>27.009599999999999</v>
      </c>
      <c r="K1677" s="465">
        <v>2468.4526700000001</v>
      </c>
      <c r="L1677" s="464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uholník Mini 17x11mm 1,7m čiena lesk</v>
      </c>
      <c r="C1678" s="185">
        <f t="shared" si="53"/>
        <v>3.17476</v>
      </c>
      <c r="D1678" s="409" t="s">
        <v>5933</v>
      </c>
      <c r="E1678" s="409" t="s">
        <v>5934</v>
      </c>
      <c r="F1678" s="409" t="s">
        <v>5935</v>
      </c>
      <c r="G1678" s="409" t="s">
        <v>5936</v>
      </c>
      <c r="H1678" s="465">
        <v>88.297250000000005</v>
      </c>
      <c r="I1678" s="465">
        <v>3.17476</v>
      </c>
      <c r="J1678" s="465">
        <v>12.2094</v>
      </c>
      <c r="K1678" s="465">
        <v>1265.3411599999999</v>
      </c>
      <c r="L1678" s="464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uholník Mini 17x11mm 2,35m čierna lesk</v>
      </c>
      <c r="C1679" s="185">
        <f t="shared" si="53"/>
        <v>4.3978200000000003</v>
      </c>
      <c r="D1679" s="409" t="s">
        <v>5937</v>
      </c>
      <c r="E1679" s="409" t="s">
        <v>5938</v>
      </c>
      <c r="F1679" s="409" t="s">
        <v>5939</v>
      </c>
      <c r="G1679" s="409" t="s">
        <v>5940</v>
      </c>
      <c r="H1679" s="465">
        <v>122.31341</v>
      </c>
      <c r="I1679" s="465">
        <v>4.3978200000000003</v>
      </c>
      <c r="J1679" s="465">
        <v>16.901399999999999</v>
      </c>
      <c r="K1679" s="465">
        <v>1752.8088</v>
      </c>
      <c r="L1679" s="464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uholník Mini 17x11mm 3m čierna lesk</v>
      </c>
      <c r="C1680" s="185">
        <f t="shared" si="53"/>
        <v>5.6208799999999997</v>
      </c>
      <c r="D1680" s="409" t="s">
        <v>5941</v>
      </c>
      <c r="E1680" s="409" t="s">
        <v>5942</v>
      </c>
      <c r="F1680" s="409" t="s">
        <v>5943</v>
      </c>
      <c r="G1680" s="409" t="s">
        <v>5944</v>
      </c>
      <c r="H1680" s="465">
        <v>156.32956999999999</v>
      </c>
      <c r="I1680" s="465">
        <v>5.6208799999999997</v>
      </c>
      <c r="J1680" s="465">
        <v>21.583200000000001</v>
      </c>
      <c r="K1680" s="465">
        <v>2240.27646</v>
      </c>
      <c r="L1680" s="464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spodná krycia lišta 1,7m 10mm čierna lesk</v>
      </c>
      <c r="C1681" s="185">
        <f t="shared" si="53"/>
        <v>19.048539999999999</v>
      </c>
      <c r="D1681" s="409" t="s">
        <v>3443</v>
      </c>
      <c r="E1681" s="409" t="s">
        <v>1883</v>
      </c>
      <c r="F1681" s="409" t="s">
        <v>5945</v>
      </c>
      <c r="G1681" s="409" t="s">
        <v>5946</v>
      </c>
      <c r="H1681" s="465">
        <v>529.78351999999995</v>
      </c>
      <c r="I1681" s="465">
        <v>19.048539999999999</v>
      </c>
      <c r="J1681" s="465">
        <v>70.369799999999998</v>
      </c>
      <c r="K1681" s="465">
        <v>7592.0473700000002</v>
      </c>
      <c r="L1681" s="464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spodná krycia lišta 2,35m 10mm čierna lesk</v>
      </c>
      <c r="C1682" s="185">
        <f t="shared" si="53"/>
        <v>26.30885</v>
      </c>
      <c r="D1682" s="409" t="s">
        <v>3444</v>
      </c>
      <c r="E1682" s="409" t="s">
        <v>1884</v>
      </c>
      <c r="F1682" s="409" t="s">
        <v>5947</v>
      </c>
      <c r="G1682" s="409" t="s">
        <v>5948</v>
      </c>
      <c r="H1682" s="465">
        <v>731.70920999999998</v>
      </c>
      <c r="I1682" s="465">
        <v>26.30885</v>
      </c>
      <c r="J1682" s="465">
        <v>97.287599999999998</v>
      </c>
      <c r="K1682" s="465">
        <v>10485.73761</v>
      </c>
      <c r="L1682" s="464" t="s">
        <v>538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spodná krycia lišta 3m 10mm čierna lesk</v>
      </c>
      <c r="C1683" s="185">
        <f t="shared" si="53"/>
        <v>33.67324</v>
      </c>
      <c r="D1683" s="409" t="s">
        <v>3445</v>
      </c>
      <c r="E1683" s="409" t="s">
        <v>1885</v>
      </c>
      <c r="F1683" s="409" t="s">
        <v>5949</v>
      </c>
      <c r="G1683" s="409" t="s">
        <v>5950</v>
      </c>
      <c r="H1683" s="465">
        <v>936.52988000000005</v>
      </c>
      <c r="I1683" s="465">
        <v>33.67324</v>
      </c>
      <c r="J1683" s="465">
        <v>124.22580000000001</v>
      </c>
      <c r="K1683" s="465">
        <v>13420.91432</v>
      </c>
      <c r="L1683" s="464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horná vodiaca lišta 1,7m čierna lesk</v>
      </c>
      <c r="C1684" s="185">
        <f t="shared" si="53"/>
        <v>10.487109999999999</v>
      </c>
      <c r="D1684" s="409" t="s">
        <v>1456</v>
      </c>
      <c r="E1684" s="409" t="s">
        <v>1886</v>
      </c>
      <c r="F1684" s="409" t="s">
        <v>5951</v>
      </c>
      <c r="G1684" s="409" t="s">
        <v>2421</v>
      </c>
      <c r="H1684" s="465">
        <v>291.67043000000001</v>
      </c>
      <c r="I1684" s="465">
        <v>10.487109999999999</v>
      </c>
      <c r="J1684" s="465">
        <v>59.986199999999997</v>
      </c>
      <c r="K1684" s="465">
        <v>4179.7746299999999</v>
      </c>
      <c r="L1684" s="464" t="s">
        <v>538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horná vodiaca lišta 2,35m černa lesk</v>
      </c>
      <c r="C1685" s="185">
        <f t="shared" si="53"/>
        <v>14.52061</v>
      </c>
      <c r="D1685" s="409" t="s">
        <v>1457</v>
      </c>
      <c r="E1685" s="409" t="s">
        <v>1887</v>
      </c>
      <c r="F1685" s="409" t="s">
        <v>5952</v>
      </c>
      <c r="G1685" s="409" t="s">
        <v>2422</v>
      </c>
      <c r="H1685" s="465">
        <v>403.85138000000001</v>
      </c>
      <c r="I1685" s="465">
        <v>14.52061</v>
      </c>
      <c r="J1685" s="465">
        <v>82.936199999999999</v>
      </c>
      <c r="K1685" s="465">
        <v>5787.3805000000002</v>
      </c>
      <c r="L1685" s="464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horná vodiaca lišta 3m čierna lesk</v>
      </c>
      <c r="C1686" s="185">
        <f t="shared" si="53"/>
        <v>18.528089999999999</v>
      </c>
      <c r="D1686" s="409" t="s">
        <v>1458</v>
      </c>
      <c r="E1686" s="409" t="s">
        <v>1888</v>
      </c>
      <c r="F1686" s="409" t="s">
        <v>5953</v>
      </c>
      <c r="G1686" s="409" t="s">
        <v>2423</v>
      </c>
      <c r="H1686" s="465">
        <v>515.30856000000006</v>
      </c>
      <c r="I1686" s="465">
        <v>18.528089999999999</v>
      </c>
      <c r="J1686" s="465">
        <v>105.8454</v>
      </c>
      <c r="K1686" s="465">
        <v>7384.61438</v>
      </c>
      <c r="L1686" s="464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spojovacia lišta H18 3m čierna lesk</v>
      </c>
      <c r="C1687" s="185">
        <f t="shared" si="53"/>
        <v>15.587540000000001</v>
      </c>
      <c r="D1687" s="409" t="s">
        <v>1459</v>
      </c>
      <c r="E1687" s="409" t="s">
        <v>1889</v>
      </c>
      <c r="F1687" s="409" t="s">
        <v>5954</v>
      </c>
      <c r="G1687" s="409" t="s">
        <v>2424</v>
      </c>
      <c r="H1687" s="465">
        <v>433.52503999999999</v>
      </c>
      <c r="I1687" s="465">
        <v>15.587540000000001</v>
      </c>
      <c r="J1687" s="465">
        <v>62.464799999999997</v>
      </c>
      <c r="K1687" s="465">
        <v>6212.6180999999997</v>
      </c>
      <c r="L1687" s="464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spodne vedenie 1,7m čierna lesk</v>
      </c>
      <c r="C1688" s="185">
        <f t="shared" si="53"/>
        <v>10.851419999999999</v>
      </c>
      <c r="D1688" s="409" t="s">
        <v>1460</v>
      </c>
      <c r="E1688" s="409" t="s">
        <v>1890</v>
      </c>
      <c r="F1688" s="409" t="s">
        <v>5955</v>
      </c>
      <c r="G1688" s="409" t="s">
        <v>5956</v>
      </c>
      <c r="H1688" s="465">
        <v>301.80291999999997</v>
      </c>
      <c r="I1688" s="465">
        <v>10.851419999999999</v>
      </c>
      <c r="J1688" s="465">
        <v>40.698</v>
      </c>
      <c r="K1688" s="465">
        <v>4324.9779799999997</v>
      </c>
      <c r="L1688" s="464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spodné vedenie 3m čierna lesk</v>
      </c>
      <c r="C1689" s="185">
        <f t="shared" si="53"/>
        <v>18.94445</v>
      </c>
      <c r="D1689" s="409" t="s">
        <v>1461</v>
      </c>
      <c r="E1689" s="409" t="s">
        <v>1891</v>
      </c>
      <c r="F1689" s="409" t="s">
        <v>5957</v>
      </c>
      <c r="G1689" s="409" t="s">
        <v>5958</v>
      </c>
      <c r="H1689" s="465">
        <v>526.88854000000003</v>
      </c>
      <c r="I1689" s="465">
        <v>18.94445</v>
      </c>
      <c r="J1689" s="465">
        <v>71.808000000000007</v>
      </c>
      <c r="K1689" s="465">
        <v>7550.5609299999996</v>
      </c>
      <c r="L1689" s="464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spodné vedenie 4,05m čierna lesk</v>
      </c>
      <c r="C1690" s="185">
        <f t="shared" si="53"/>
        <v>25.658280000000001</v>
      </c>
      <c r="D1690" s="409" t="s">
        <v>1462</v>
      </c>
      <c r="E1690" s="409" t="s">
        <v>1892</v>
      </c>
      <c r="F1690" s="409" t="s">
        <v>5959</v>
      </c>
      <c r="G1690" s="409" t="s">
        <v>5960</v>
      </c>
      <c r="H1690" s="465">
        <v>713.61551999999995</v>
      </c>
      <c r="I1690" s="465">
        <v>25.658280000000001</v>
      </c>
      <c r="J1690" s="465">
        <v>96.930599999999998</v>
      </c>
      <c r="K1690" s="465">
        <v>10226.44657</v>
      </c>
      <c r="L1690" s="464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spodné vedenie 6m čierna lesk</v>
      </c>
      <c r="C1691" s="185">
        <f t="shared" si="53"/>
        <v>37.914929999999998</v>
      </c>
      <c r="D1691" s="409" t="s">
        <v>1463</v>
      </c>
      <c r="E1691" s="409" t="s">
        <v>1893</v>
      </c>
      <c r="F1691" s="409" t="s">
        <v>5961</v>
      </c>
      <c r="G1691" s="409" t="s">
        <v>2425</v>
      </c>
      <c r="H1691" s="465">
        <v>1054.50082</v>
      </c>
      <c r="I1691" s="465">
        <v>37.914929999999998</v>
      </c>
      <c r="J1691" s="465">
        <v>143.60579999999999</v>
      </c>
      <c r="K1691" s="465">
        <v>15111.493469999999</v>
      </c>
      <c r="L1691" s="464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horné vedenie 1,7m čierna lesk</v>
      </c>
      <c r="C1692" s="185">
        <f t="shared" si="53"/>
        <v>18.39798</v>
      </c>
      <c r="D1692" s="409" t="s">
        <v>1464</v>
      </c>
      <c r="E1692" s="409" t="s">
        <v>1894</v>
      </c>
      <c r="F1692" s="409" t="s">
        <v>5962</v>
      </c>
      <c r="G1692" s="409" t="s">
        <v>5963</v>
      </c>
      <c r="H1692" s="465">
        <v>511.68982999999997</v>
      </c>
      <c r="I1692" s="465">
        <v>18.39798</v>
      </c>
      <c r="J1692" s="465">
        <v>74.653800000000004</v>
      </c>
      <c r="K1692" s="465">
        <v>7332.7563300000002</v>
      </c>
      <c r="L1692" s="464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horné vedenie 3m čierna lesk</v>
      </c>
      <c r="C1693" s="185">
        <f t="shared" si="53"/>
        <v>32.476199999999999</v>
      </c>
      <c r="D1693" s="409" t="s">
        <v>1465</v>
      </c>
      <c r="E1693" s="409" t="s">
        <v>1895</v>
      </c>
      <c r="F1693" s="409" t="s">
        <v>5964</v>
      </c>
      <c r="G1693" s="409" t="s">
        <v>5965</v>
      </c>
      <c r="H1693" s="465">
        <v>903.23748000000001</v>
      </c>
      <c r="I1693" s="465">
        <v>32.476199999999999</v>
      </c>
      <c r="J1693" s="465">
        <v>131.79419999999999</v>
      </c>
      <c r="K1693" s="465">
        <v>12943.81868</v>
      </c>
      <c r="L1693" s="464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horné vedenie 4,05m čierna lesk</v>
      </c>
      <c r="C1694" s="185">
        <f t="shared" si="53"/>
        <v>43.848080000000003</v>
      </c>
      <c r="D1694" s="409" t="s">
        <v>1466</v>
      </c>
      <c r="E1694" s="409" t="s">
        <v>1896</v>
      </c>
      <c r="F1694" s="409" t="s">
        <v>5966</v>
      </c>
      <c r="G1694" s="409" t="s">
        <v>5967</v>
      </c>
      <c r="H1694" s="465">
        <v>1219.5153600000001</v>
      </c>
      <c r="I1694" s="465">
        <v>43.848080000000003</v>
      </c>
      <c r="J1694" s="465">
        <v>177.9186</v>
      </c>
      <c r="K1694" s="465">
        <v>17476.229630000002</v>
      </c>
      <c r="L1694" s="464" t="s">
        <v>538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horné vedenie 6m čierna lesk</v>
      </c>
      <c r="C1695" s="185">
        <f t="shared" si="53"/>
        <v>64.95241</v>
      </c>
      <c r="D1695" s="409" t="s">
        <v>1467</v>
      </c>
      <c r="E1695" s="409" t="s">
        <v>1897</v>
      </c>
      <c r="F1695" s="409" t="s">
        <v>5968</v>
      </c>
      <c r="G1695" s="409" t="s">
        <v>2426</v>
      </c>
      <c r="H1695" s="465">
        <v>1806.47497</v>
      </c>
      <c r="I1695" s="465">
        <v>64.95241</v>
      </c>
      <c r="J1695" s="465">
        <v>263.56799999999998</v>
      </c>
      <c r="K1695" s="465">
        <v>25887.637350000001</v>
      </c>
      <c r="L1695" s="464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maska Elegant II 1,7m čierna lesk</v>
      </c>
      <c r="C1696" s="185">
        <f t="shared" si="53"/>
        <v>3.3308900000000001</v>
      </c>
      <c r="D1696" s="409" t="s">
        <v>1468</v>
      </c>
      <c r="E1696" s="409" t="s">
        <v>1898</v>
      </c>
      <c r="F1696" s="409" t="s">
        <v>5969</v>
      </c>
      <c r="G1696" s="409" t="s">
        <v>2427</v>
      </c>
      <c r="H1696" s="465">
        <v>92.639750000000006</v>
      </c>
      <c r="I1696" s="465">
        <v>3.3308900000000001</v>
      </c>
      <c r="J1696" s="465">
        <v>12.199199999999999</v>
      </c>
      <c r="K1696" s="465">
        <v>1327.57123</v>
      </c>
      <c r="L1696" s="464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maska Elegant II 3m čierna lesk</v>
      </c>
      <c r="C1697" s="185">
        <f t="shared" si="53"/>
        <v>5.8811099999999996</v>
      </c>
      <c r="D1697" s="409" t="s">
        <v>1469</v>
      </c>
      <c r="E1697" s="409" t="s">
        <v>1899</v>
      </c>
      <c r="F1697" s="409" t="s">
        <v>5970</v>
      </c>
      <c r="G1697" s="409" t="s">
        <v>2428</v>
      </c>
      <c r="H1697" s="465">
        <v>163.56704999999999</v>
      </c>
      <c r="I1697" s="465">
        <v>5.8811099999999996</v>
      </c>
      <c r="J1697" s="465">
        <v>21.542400000000001</v>
      </c>
      <c r="K1697" s="465">
        <v>2343.9929499999998</v>
      </c>
      <c r="L1697" s="464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maska Elegant II 4,05m čierna lesk</v>
      </c>
      <c r="C1698" s="185">
        <f t="shared" si="53"/>
        <v>7.93689</v>
      </c>
      <c r="D1698" s="409" t="s">
        <v>1470</v>
      </c>
      <c r="E1698" s="409" t="s">
        <v>1900</v>
      </c>
      <c r="F1698" s="409" t="s">
        <v>5971</v>
      </c>
      <c r="G1698" s="409" t="s">
        <v>2429</v>
      </c>
      <c r="H1698" s="465">
        <v>220.74315000000001</v>
      </c>
      <c r="I1698" s="465">
        <v>7.93689</v>
      </c>
      <c r="J1698" s="465">
        <v>29.07</v>
      </c>
      <c r="K1698" s="465">
        <v>3163.3533000000002</v>
      </c>
      <c r="L1698" s="464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maska Elegant II 6m čierna lesk</v>
      </c>
      <c r="C1699" s="185">
        <f t="shared" si="53"/>
        <v>11.762219999999999</v>
      </c>
      <c r="D1699" s="409" t="s">
        <v>1471</v>
      </c>
      <c r="E1699" s="409" t="s">
        <v>1901</v>
      </c>
      <c r="F1699" s="409" t="s">
        <v>5972</v>
      </c>
      <c r="G1699" s="409" t="s">
        <v>2430</v>
      </c>
      <c r="H1699" s="465">
        <v>327.13407999999998</v>
      </c>
      <c r="I1699" s="465">
        <v>11.762219999999999</v>
      </c>
      <c r="J1699" s="465">
        <v>43.084800000000001</v>
      </c>
      <c r="K1699" s="465">
        <v>4687.9854999999998</v>
      </c>
      <c r="L1699" s="464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sada kovania pre skladacie dvere 25kg</v>
      </c>
      <c r="C1700" s="185">
        <f t="shared" si="53"/>
        <v>51.735770000000002</v>
      </c>
      <c r="D1700" s="409" t="s">
        <v>7934</v>
      </c>
      <c r="E1700" s="409" t="s">
        <v>7935</v>
      </c>
      <c r="F1700" s="409" t="s">
        <v>7936</v>
      </c>
      <c r="G1700" s="409" t="s">
        <v>7937</v>
      </c>
      <c r="H1700" s="465">
        <v>1266.72</v>
      </c>
      <c r="I1700" s="465">
        <v>51.735770000000002</v>
      </c>
      <c r="J1700" s="465">
        <v>234.27858000000001</v>
      </c>
      <c r="K1700" s="465">
        <v>21963.29032</v>
      </c>
      <c r="L1700" s="464" t="s">
        <v>537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dolný profil 2m</v>
      </c>
      <c r="C1701" s="185">
        <f t="shared" si="53"/>
        <v>0</v>
      </c>
      <c r="D1701" s="409" t="s">
        <v>7938</v>
      </c>
      <c r="E1701" s="409" t="s">
        <v>7939</v>
      </c>
      <c r="F1701" s="409" t="s">
        <v>7940</v>
      </c>
      <c r="G1701" s="409" t="s">
        <v>7941</v>
      </c>
      <c r="H1701" s="465">
        <v>0</v>
      </c>
      <c r="I1701" s="465">
        <v>0</v>
      </c>
      <c r="J1701" s="465">
        <v>0</v>
      </c>
      <c r="K1701" s="465">
        <v>0</v>
      </c>
      <c r="L1701" s="464" t="s">
        <v>540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9" t="e">
        <v>#N/A</v>
      </c>
      <c r="E1702" s="409" t="e">
        <v>#N/A</v>
      </c>
      <c r="F1702" s="409" t="e">
        <v>#N/A</v>
      </c>
      <c r="G1702" s="409" t="e">
        <v>#N/A</v>
      </c>
      <c r="H1702" s="465" t="e">
        <v>#N/A</v>
      </c>
      <c r="I1702" s="465" t="e">
        <v>#N/A</v>
      </c>
      <c r="J1702" s="465" t="e">
        <v>#N/A</v>
      </c>
      <c r="K1702" s="465" t="e">
        <v>#N/A</v>
      </c>
      <c r="L1702" s="464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9" t="e">
        <v>#N/A</v>
      </c>
      <c r="E1703" s="409" t="e">
        <v>#N/A</v>
      </c>
      <c r="F1703" s="409" t="e">
        <v>#N/A</v>
      </c>
      <c r="G1703" s="409" t="e">
        <v>#N/A</v>
      </c>
      <c r="H1703" s="465" t="e">
        <v>#N/A</v>
      </c>
      <c r="I1703" s="465" t="e">
        <v>#N/A</v>
      </c>
      <c r="J1703" s="465" t="e">
        <v>#N/A</v>
      </c>
      <c r="K1703" s="465" t="e">
        <v>#N/A</v>
      </c>
      <c r="L1703" s="464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horné vedenie 6m oliva</v>
      </c>
      <c r="C1704" s="185">
        <f t="shared" si="53"/>
        <v>64.327870000000004</v>
      </c>
      <c r="D1704" s="409" t="s">
        <v>1472</v>
      </c>
      <c r="E1704" s="409" t="s">
        <v>1902</v>
      </c>
      <c r="F1704" s="409" t="s">
        <v>5973</v>
      </c>
      <c r="G1704" s="409" t="s">
        <v>2431</v>
      </c>
      <c r="H1704" s="465">
        <v>1789.105</v>
      </c>
      <c r="I1704" s="465">
        <v>64.327870000000004</v>
      </c>
      <c r="J1704" s="465">
        <v>221.20722000000001</v>
      </c>
      <c r="K1704" s="465">
        <v>25638.717519999998</v>
      </c>
      <c r="L1704" s="464" t="s">
        <v>539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spodný vozík WD10 V Duo 60kg (2 ks)</v>
      </c>
      <c r="C1705" s="185">
        <f t="shared" si="53"/>
        <v>18.632180000000002</v>
      </c>
      <c r="D1705" s="409" t="s">
        <v>1473</v>
      </c>
      <c r="E1705" s="409" t="s">
        <v>1903</v>
      </c>
      <c r="F1705" s="409" t="s">
        <v>5974</v>
      </c>
      <c r="G1705" s="409" t="s">
        <v>2432</v>
      </c>
      <c r="H1705" s="465">
        <v>549.89227000000005</v>
      </c>
      <c r="I1705" s="465">
        <v>18.632180000000002</v>
      </c>
      <c r="J1705" s="465">
        <v>65.147400000000005</v>
      </c>
      <c r="K1705" s="465">
        <v>7636.5575200000003</v>
      </c>
      <c r="L1705" s="464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9" t="e">
        <v>#N/A</v>
      </c>
      <c r="E1706" s="409" t="e">
        <v>#N/A</v>
      </c>
      <c r="F1706" s="409" t="e">
        <v>#N/A</v>
      </c>
      <c r="G1706" s="409" t="e">
        <v>#N/A</v>
      </c>
      <c r="H1706" s="465" t="e">
        <v>#N/A</v>
      </c>
      <c r="I1706" s="465" t="e">
        <v>#N/A</v>
      </c>
      <c r="J1706" s="465" t="e">
        <v>#N/A</v>
      </c>
      <c r="K1706" s="465" t="e">
        <v>#N/A</v>
      </c>
      <c r="L1706" s="464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9" t="e">
        <v>#N/A</v>
      </c>
      <c r="E1707" s="409" t="e">
        <v>#N/A</v>
      </c>
      <c r="F1707" s="409" t="e">
        <v>#N/A</v>
      </c>
      <c r="G1707" s="409" t="e">
        <v>#N/A</v>
      </c>
      <c r="H1707" s="465" t="e">
        <v>#N/A</v>
      </c>
      <c r="I1707" s="465" t="e">
        <v>#N/A</v>
      </c>
      <c r="J1707" s="465" t="e">
        <v>#N/A</v>
      </c>
      <c r="K1707" s="465" t="e">
        <v>#N/A</v>
      </c>
      <c r="L1707" s="464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9" t="e">
        <v>#N/A</v>
      </c>
      <c r="E1708" s="409" t="e">
        <v>#N/A</v>
      </c>
      <c r="F1708" s="409" t="e">
        <v>#N/A</v>
      </c>
      <c r="G1708" s="409" t="e">
        <v>#N/A</v>
      </c>
      <c r="H1708" s="465" t="e">
        <v>#N/A</v>
      </c>
      <c r="I1708" s="465" t="e">
        <v>#N/A</v>
      </c>
      <c r="J1708" s="465" t="e">
        <v>#N/A</v>
      </c>
      <c r="K1708" s="465" t="e">
        <v>#N/A</v>
      </c>
      <c r="L1708" s="464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horná upevňovacia svorka T 12 mm</v>
      </c>
      <c r="C1709" s="185">
        <f t="shared" si="53"/>
        <v>23.634450000000001</v>
      </c>
      <c r="D1709" s="409" t="s">
        <v>7942</v>
      </c>
      <c r="E1709" s="409" t="s">
        <v>7943</v>
      </c>
      <c r="F1709" s="409" t="s">
        <v>7944</v>
      </c>
      <c r="G1709" s="409" t="s">
        <v>7945</v>
      </c>
      <c r="H1709" s="465">
        <v>646.40639999999996</v>
      </c>
      <c r="I1709" s="465">
        <v>23.634450000000001</v>
      </c>
      <c r="J1709" s="465">
        <v>115.6044</v>
      </c>
      <c r="K1709" s="465">
        <v>9413.2169300000005</v>
      </c>
      <c r="L1709" s="464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Rektifikačná nožka VS-U univerzálna 12 mm</v>
      </c>
      <c r="C1710" s="185">
        <f t="shared" si="53"/>
        <v>24.796800000000001</v>
      </c>
      <c r="D1710" s="409" t="s">
        <v>7946</v>
      </c>
      <c r="E1710" s="409" t="s">
        <v>7947</v>
      </c>
      <c r="F1710" s="409" t="s">
        <v>7948</v>
      </c>
      <c r="G1710" s="409" t="s">
        <v>7949</v>
      </c>
      <c r="H1710" s="465">
        <v>646.40639999999996</v>
      </c>
      <c r="I1710" s="465">
        <v>24.796800000000001</v>
      </c>
      <c r="J1710" s="465">
        <v>115.6044</v>
      </c>
      <c r="K1710" s="465">
        <v>9876.1617999999999</v>
      </c>
      <c r="L1710" s="464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9" t="e">
        <v>#N/A</v>
      </c>
      <c r="E1711" s="409" t="e">
        <v>#N/A</v>
      </c>
      <c r="F1711" s="409" t="e">
        <v>#N/A</v>
      </c>
      <c r="G1711" s="409" t="e">
        <v>#N/A</v>
      </c>
      <c r="H1711" s="465" t="e">
        <v>#N/A</v>
      </c>
      <c r="I1711" s="465" t="e">
        <v>#N/A</v>
      </c>
      <c r="J1711" s="465" t="e">
        <v>#N/A</v>
      </c>
      <c r="K1711" s="465" t="e">
        <v>#N/A</v>
      </c>
      <c r="L1711" s="464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9" t="e">
        <v>#N/A</v>
      </c>
      <c r="E1712" s="409" t="e">
        <v>#N/A</v>
      </c>
      <c r="F1712" s="409" t="e">
        <v>#N/A</v>
      </c>
      <c r="G1712" s="409" t="e">
        <v>#N/A</v>
      </c>
      <c r="H1712" s="465" t="e">
        <v>#N/A</v>
      </c>
      <c r="I1712" s="465" t="e">
        <v>#N/A</v>
      </c>
      <c r="J1712" s="465" t="e">
        <v>#N/A</v>
      </c>
      <c r="K1712" s="465" t="e">
        <v>#N/A</v>
      </c>
      <c r="L1712" s="464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9" t="e">
        <v>#N/A</v>
      </c>
      <c r="E1713" s="409" t="e">
        <v>#N/A</v>
      </c>
      <c r="F1713" s="409" t="e">
        <v>#N/A</v>
      </c>
      <c r="G1713" s="409" t="e">
        <v>#N/A</v>
      </c>
      <c r="H1713" s="465" t="e">
        <v>#N/A</v>
      </c>
      <c r="I1713" s="465" t="e">
        <v>#N/A</v>
      </c>
      <c r="J1713" s="465" t="e">
        <v>#N/A</v>
      </c>
      <c r="K1713" s="465" t="e">
        <v>#N/A</v>
      </c>
      <c r="L1713" s="464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9" t="e">
        <v>#N/A</v>
      </c>
      <c r="E1714" s="409" t="e">
        <v>#N/A</v>
      </c>
      <c r="F1714" s="409" t="e">
        <v>#N/A</v>
      </c>
      <c r="G1714" s="409" t="e">
        <v>#N/A</v>
      </c>
      <c r="H1714" s="465" t="e">
        <v>#N/A</v>
      </c>
      <c r="I1714" s="465" t="e">
        <v>#N/A</v>
      </c>
      <c r="J1714" s="465" t="e">
        <v>#N/A</v>
      </c>
      <c r="K1714" s="465" t="e">
        <v>#N/A</v>
      </c>
      <c r="L1714" s="464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Top horné vedenie jednoduché 2,35m strieborná</v>
      </c>
      <c r="C1715" s="185">
        <f t="shared" si="53"/>
        <v>26.12669</v>
      </c>
      <c r="D1715" s="409" t="s">
        <v>1474</v>
      </c>
      <c r="E1715" s="409" t="s">
        <v>1904</v>
      </c>
      <c r="F1715" s="409" t="s">
        <v>2177</v>
      </c>
      <c r="G1715" s="409" t="s">
        <v>2433</v>
      </c>
      <c r="H1715" s="465">
        <v>726.64296000000002</v>
      </c>
      <c r="I1715" s="465">
        <v>26.12669</v>
      </c>
      <c r="J1715" s="465">
        <v>91.1982</v>
      </c>
      <c r="K1715" s="465">
        <v>10413.13596</v>
      </c>
      <c r="L1715" s="464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horný a stredná profil 2m nerez</v>
      </c>
      <c r="C1716" s="185">
        <f t="shared" si="53"/>
        <v>0</v>
      </c>
      <c r="D1716" s="409" t="s">
        <v>7950</v>
      </c>
      <c r="E1716" s="409" t="s">
        <v>7951</v>
      </c>
      <c r="F1716" s="409" t="s">
        <v>7952</v>
      </c>
      <c r="G1716" s="409" t="s">
        <v>7953</v>
      </c>
      <c r="H1716" s="465">
        <v>0</v>
      </c>
      <c r="I1716" s="465">
        <v>0</v>
      </c>
      <c r="J1716" s="465">
        <v>0</v>
      </c>
      <c r="K1716" s="465">
        <v>0</v>
      </c>
      <c r="L1716" s="464" t="s">
        <v>540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dolný profil 4/18mm 2m nerez</v>
      </c>
      <c r="C1717" s="185">
        <f t="shared" si="53"/>
        <v>0</v>
      </c>
      <c r="D1717" s="409" t="s">
        <v>7954</v>
      </c>
      <c r="E1717" s="409" t="s">
        <v>7955</v>
      </c>
      <c r="F1717" s="409" t="s">
        <v>7956</v>
      </c>
      <c r="G1717" s="409" t="s">
        <v>7957</v>
      </c>
      <c r="H1717" s="465">
        <v>0</v>
      </c>
      <c r="I1717" s="465">
        <v>0</v>
      </c>
      <c r="J1717" s="465">
        <v>0</v>
      </c>
      <c r="K1717" s="465">
        <v>0</v>
      </c>
      <c r="L1717" s="464" t="s">
        <v>540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/>
      </c>
      <c r="C1718" s="185">
        <f t="shared" si="53"/>
        <v>0.47572999999999999</v>
      </c>
      <c r="D1718" s="409" t="s">
        <v>7958</v>
      </c>
      <c r="E1718" s="409" t="s">
        <v>7959</v>
      </c>
      <c r="F1718" s="409" t="s">
        <v>68</v>
      </c>
      <c r="G1718" s="409" t="s">
        <v>7960</v>
      </c>
      <c r="H1718" s="465">
        <v>11.648</v>
      </c>
      <c r="I1718" s="465">
        <v>0.47572999999999999</v>
      </c>
      <c r="J1718" s="465">
        <v>2.1568000000000001</v>
      </c>
      <c r="K1718" s="465">
        <v>207.83087</v>
      </c>
      <c r="L1718" s="464" t="s">
        <v>537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sada kovania pro interiérové dvere Simple 18 Galaxy 50kg brzda + tlmič</v>
      </c>
      <c r="C1719" s="185">
        <f t="shared" si="53"/>
        <v>34.037559999999999</v>
      </c>
      <c r="D1719" s="409" t="s">
        <v>1475</v>
      </c>
      <c r="E1719" s="409" t="s">
        <v>1905</v>
      </c>
      <c r="F1719" s="409" t="s">
        <v>5975</v>
      </c>
      <c r="G1719" s="409" t="s">
        <v>5976</v>
      </c>
      <c r="H1719" s="465">
        <v>902.39398000000006</v>
      </c>
      <c r="I1719" s="465">
        <v>34.037559999999999</v>
      </c>
      <c r="J1719" s="465">
        <v>116.12663000000001</v>
      </c>
      <c r="K1719" s="465">
        <v>13181.652770000001</v>
      </c>
      <c r="L1719" s="464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sada kovania pro interiérové dvere Simple 18 Galaxy 50kg  2x tlmič</v>
      </c>
      <c r="C1720" s="185">
        <f t="shared" si="53"/>
        <v>50.796120000000002</v>
      </c>
      <c r="D1720" s="409" t="s">
        <v>1476</v>
      </c>
      <c r="E1720" s="409" t="s">
        <v>1906</v>
      </c>
      <c r="F1720" s="409" t="s">
        <v>5977</v>
      </c>
      <c r="G1720" s="409" t="s">
        <v>5978</v>
      </c>
      <c r="H1720" s="465">
        <v>1346.6919399999999</v>
      </c>
      <c r="I1720" s="465">
        <v>50.796120000000002</v>
      </c>
      <c r="J1720" s="465">
        <v>173.30212</v>
      </c>
      <c r="K1720" s="465">
        <v>19671.7022</v>
      </c>
      <c r="L1720" s="464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IC-horné vedenie 5m šampaň</v>
      </c>
      <c r="C1721" s="185">
        <f t="shared" si="53"/>
        <v>37.937640000000002</v>
      </c>
      <c r="D1721" s="409" t="s">
        <v>7961</v>
      </c>
      <c r="E1721" s="409" t="s">
        <v>7962</v>
      </c>
      <c r="F1721" s="409" t="s">
        <v>7963</v>
      </c>
      <c r="G1721" s="409" t="s">
        <v>7964</v>
      </c>
      <c r="H1721" s="465">
        <v>1583.75</v>
      </c>
      <c r="I1721" s="465">
        <v>37.937640000000002</v>
      </c>
      <c r="J1721" s="465">
        <v>209.20542</v>
      </c>
      <c r="K1721" s="465">
        <v>31879.35484</v>
      </c>
      <c r="L1721" s="464" t="s">
        <v>539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IC-spodné vedenie 5m šampaň</v>
      </c>
      <c r="C1722" s="185">
        <f t="shared" si="53"/>
        <v>18.117439999999998</v>
      </c>
      <c r="D1722" s="409" t="s">
        <v>7965</v>
      </c>
      <c r="E1722" s="409" t="s">
        <v>7966</v>
      </c>
      <c r="F1722" s="409" t="s">
        <v>7967</v>
      </c>
      <c r="G1722" s="409" t="s">
        <v>7968</v>
      </c>
      <c r="H1722" s="465">
        <v>756.875</v>
      </c>
      <c r="I1722" s="465">
        <v>18.117439999999998</v>
      </c>
      <c r="J1722" s="465">
        <v>99.907799999999995</v>
      </c>
      <c r="K1722" s="465">
        <v>15235.16129</v>
      </c>
      <c r="L1722" s="464" t="s">
        <v>539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IC-horné vedenie 2m  strieborné</v>
      </c>
      <c r="C1723" s="185">
        <f t="shared" si="53"/>
        <v>15.733560000000001</v>
      </c>
      <c r="D1723" s="409" t="s">
        <v>7969</v>
      </c>
      <c r="E1723" s="409" t="s">
        <v>7970</v>
      </c>
      <c r="F1723" s="409" t="s">
        <v>7971</v>
      </c>
      <c r="G1723" s="409" t="s">
        <v>7972</v>
      </c>
      <c r="H1723" s="465">
        <v>657.125</v>
      </c>
      <c r="I1723" s="465">
        <v>15.733560000000001</v>
      </c>
      <c r="J1723" s="465">
        <v>86.762039999999999</v>
      </c>
      <c r="K1723" s="465">
        <v>13227.29033</v>
      </c>
      <c r="L1723" s="464" t="s">
        <v>539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IC-horné vedenie 3m  strieborné</v>
      </c>
      <c r="C1724" s="185">
        <f t="shared" si="53"/>
        <v>23.157630000000001</v>
      </c>
      <c r="D1724" s="409" t="s">
        <v>7973</v>
      </c>
      <c r="E1724" s="409" t="s">
        <v>7974</v>
      </c>
      <c r="F1724" s="409" t="s">
        <v>7975</v>
      </c>
      <c r="G1724" s="409" t="s">
        <v>7976</v>
      </c>
      <c r="H1724" s="465">
        <v>966.875</v>
      </c>
      <c r="I1724" s="465">
        <v>23.157630000000001</v>
      </c>
      <c r="J1724" s="465">
        <v>127.7017</v>
      </c>
      <c r="K1724" s="465">
        <v>19462.25807</v>
      </c>
      <c r="L1724" s="464" t="s">
        <v>539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IC-horné vedenie 5m strieborné</v>
      </c>
      <c r="C1725" s="185">
        <f t="shared" si="53"/>
        <v>65.417630000000003</v>
      </c>
      <c r="D1725" s="409" t="s">
        <v>7977</v>
      </c>
      <c r="E1725" s="409" t="s">
        <v>7978</v>
      </c>
      <c r="F1725" s="409" t="s">
        <v>7979</v>
      </c>
      <c r="G1725" s="409" t="s">
        <v>7980</v>
      </c>
      <c r="H1725" s="465">
        <v>1464.4888000000001</v>
      </c>
      <c r="I1725" s="465">
        <v>65.417630000000003</v>
      </c>
      <c r="J1725" s="465">
        <v>193.6183</v>
      </c>
      <c r="K1725" s="465">
        <v>29519.2258</v>
      </c>
      <c r="L1725" s="464" t="s">
        <v>539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IC-spodné vedenie 2m strieborné</v>
      </c>
      <c r="C1726" s="185">
        <f t="shared" si="53"/>
        <v>7.52623</v>
      </c>
      <c r="D1726" s="409" t="s">
        <v>7981</v>
      </c>
      <c r="E1726" s="409" t="s">
        <v>7982</v>
      </c>
      <c r="F1726" s="409" t="s">
        <v>7983</v>
      </c>
      <c r="G1726" s="409" t="s">
        <v>7984</v>
      </c>
      <c r="H1726" s="465">
        <v>314.125</v>
      </c>
      <c r="I1726" s="465">
        <v>7.52623</v>
      </c>
      <c r="J1726" s="465">
        <v>41.503059999999998</v>
      </c>
      <c r="K1726" s="465">
        <v>6323.0322500000002</v>
      </c>
      <c r="L1726" s="464" t="s">
        <v>539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IC-spodné vedenie 3m strieborné</v>
      </c>
      <c r="C1727" s="185">
        <f t="shared" si="53"/>
        <v>11.06798</v>
      </c>
      <c r="D1727" s="409" t="s">
        <v>7985</v>
      </c>
      <c r="E1727" s="409" t="s">
        <v>7986</v>
      </c>
      <c r="F1727" s="409" t="s">
        <v>7987</v>
      </c>
      <c r="G1727" s="409" t="s">
        <v>7988</v>
      </c>
      <c r="H1727" s="465">
        <v>462</v>
      </c>
      <c r="I1727" s="465">
        <v>11.06798</v>
      </c>
      <c r="J1727" s="465">
        <v>61.033900000000003</v>
      </c>
      <c r="K1727" s="465">
        <v>9299.6129099999998</v>
      </c>
      <c r="L1727" s="464" t="s">
        <v>539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IC-spodné vedenie 5m strieborné</v>
      </c>
      <c r="C1728" s="185">
        <f t="shared" si="53"/>
        <v>16.789280000000002</v>
      </c>
      <c r="D1728" s="409" t="s">
        <v>7989</v>
      </c>
      <c r="E1728" s="409" t="s">
        <v>7990</v>
      </c>
      <c r="F1728" s="409" t="s">
        <v>7991</v>
      </c>
      <c r="G1728" s="409" t="s">
        <v>7992</v>
      </c>
      <c r="H1728" s="465">
        <v>700.875</v>
      </c>
      <c r="I1728" s="465">
        <v>16.789280000000002</v>
      </c>
      <c r="J1728" s="465">
        <v>92.58372</v>
      </c>
      <c r="K1728" s="465">
        <v>14107.93549</v>
      </c>
      <c r="L1728" s="464" t="s">
        <v>539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IC-sada vozíkov Comfort 1 krídlo</v>
      </c>
      <c r="C1729" s="185">
        <f t="shared" si="53"/>
        <v>6.2934299999999999</v>
      </c>
      <c r="D1729" s="409" t="s">
        <v>7993</v>
      </c>
      <c r="E1729" s="409" t="s">
        <v>7994</v>
      </c>
      <c r="F1729" s="409" t="s">
        <v>7995</v>
      </c>
      <c r="G1729" s="409" t="s">
        <v>7996</v>
      </c>
      <c r="H1729" s="465">
        <v>161.69999999999999</v>
      </c>
      <c r="I1729" s="465">
        <v>6.2934299999999999</v>
      </c>
      <c r="J1729" s="465">
        <v>34.704819999999998</v>
      </c>
      <c r="K1729" s="465">
        <v>0</v>
      </c>
      <c r="L1729" s="464" t="s">
        <v>537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IC-sada vozíkov symetrická - 1 krídlo</v>
      </c>
      <c r="C1730" s="185">
        <f t="shared" si="53"/>
        <v>6.2934299999999999</v>
      </c>
      <c r="D1730" s="409" t="s">
        <v>7997</v>
      </c>
      <c r="E1730" s="409" t="s">
        <v>7998</v>
      </c>
      <c r="F1730" s="409" t="s">
        <v>7999</v>
      </c>
      <c r="G1730" s="409" t="s">
        <v>8000</v>
      </c>
      <c r="H1730" s="465">
        <v>261.625</v>
      </c>
      <c r="I1730" s="465">
        <v>6.2934299999999999</v>
      </c>
      <c r="J1730" s="465">
        <v>34.704819999999998</v>
      </c>
      <c r="K1730" s="465">
        <v>5266.2580699999999</v>
      </c>
      <c r="L1730" s="464" t="s">
        <v>539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IC-pozicionér</v>
      </c>
      <c r="C1731" s="185">
        <f t="shared" si="53"/>
        <v>0.64363999999999999</v>
      </c>
      <c r="D1731" s="409" t="s">
        <v>8001</v>
      </c>
      <c r="E1731" s="409" t="s">
        <v>8002</v>
      </c>
      <c r="F1731" s="409" t="s">
        <v>8001</v>
      </c>
      <c r="G1731" s="409" t="s">
        <v>8003</v>
      </c>
      <c r="H1731" s="465">
        <v>22.225000000000001</v>
      </c>
      <c r="I1731" s="465">
        <v>0.64363999999999999</v>
      </c>
      <c r="J1731" s="465">
        <v>3.5493600000000001</v>
      </c>
      <c r="K1731" s="465">
        <v>447.36775</v>
      </c>
      <c r="L1731" s="464" t="s">
        <v>539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IC-spona dorazového kartáču</v>
      </c>
      <c r="C1732" s="185">
        <f t="shared" ref="C1732:C1795" si="55">IF($A$2=1,H1732,IF($A$2=2,I1732,IF($A$2=3,J1732,IF($A$2=4,K1732,IF($A$2&gt;4,O1732,"zadat jazyk")))))</f>
        <v>0.11414000000000001</v>
      </c>
      <c r="D1732" s="409" t="s">
        <v>8004</v>
      </c>
      <c r="E1732" s="409" t="s">
        <v>8005</v>
      </c>
      <c r="F1732" s="409" t="s">
        <v>8006</v>
      </c>
      <c r="G1732" s="409" t="s">
        <v>8007</v>
      </c>
      <c r="H1732" s="465">
        <v>5.95</v>
      </c>
      <c r="I1732" s="465">
        <v>0.11414000000000001</v>
      </c>
      <c r="J1732" s="465">
        <v>0.63849999999999996</v>
      </c>
      <c r="K1732" s="465">
        <v>61.023609999999998</v>
      </c>
      <c r="L1732" s="464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IC-tlmič dorazu pravý</v>
      </c>
      <c r="C1733" s="185">
        <f t="shared" si="55"/>
        <v>12.47198</v>
      </c>
      <c r="D1733" s="409" t="s">
        <v>8008</v>
      </c>
      <c r="E1733" s="409" t="s">
        <v>8009</v>
      </c>
      <c r="F1733" s="409" t="s">
        <v>8010</v>
      </c>
      <c r="G1733" s="409" t="s">
        <v>8011</v>
      </c>
      <c r="H1733" s="465">
        <v>325.0625</v>
      </c>
      <c r="I1733" s="465">
        <v>12.47198</v>
      </c>
      <c r="J1733" s="465">
        <v>69.766440000000003</v>
      </c>
      <c r="K1733" s="465">
        <v>8788.83871</v>
      </c>
      <c r="L1733" s="464" t="s">
        <v>539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IC-tlmič dorazu ľavý</v>
      </c>
      <c r="C1734" s="185">
        <f t="shared" si="55"/>
        <v>10.454980000000001</v>
      </c>
      <c r="D1734" s="409" t="s">
        <v>8012</v>
      </c>
      <c r="E1734" s="409" t="s">
        <v>8013</v>
      </c>
      <c r="F1734" s="409" t="s">
        <v>8014</v>
      </c>
      <c r="G1734" s="409" t="s">
        <v>8015</v>
      </c>
      <c r="H1734" s="465">
        <v>436.02620000000002</v>
      </c>
      <c r="I1734" s="465">
        <v>10.454980000000001</v>
      </c>
      <c r="J1734" s="465">
        <v>57.653559999999999</v>
      </c>
      <c r="K1734" s="465">
        <v>0</v>
      </c>
      <c r="L1734" s="464" t="s">
        <v>537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IC-tesnenie na sklo 12/6,4mm</v>
      </c>
      <c r="C1735" s="185">
        <f t="shared" si="55"/>
        <v>0.61623000000000006</v>
      </c>
      <c r="D1735" s="409" t="s">
        <v>8016</v>
      </c>
      <c r="E1735" s="409" t="s">
        <v>8017</v>
      </c>
      <c r="F1735" s="409" t="s">
        <v>8018</v>
      </c>
      <c r="G1735" s="409" t="s">
        <v>8019</v>
      </c>
      <c r="H1735" s="465">
        <v>20.752880000000001</v>
      </c>
      <c r="I1735" s="465">
        <v>0.61623000000000006</v>
      </c>
      <c r="J1735" s="465">
        <v>5.0705</v>
      </c>
      <c r="K1735" s="465">
        <v>0</v>
      </c>
      <c r="L1735" s="464" t="s">
        <v>537</v>
      </c>
      <c r="O1735">
        <v>0</v>
      </c>
      <c r="P1735" t="s">
        <v>10019</v>
      </c>
    </row>
    <row r="1736" spans="1:16" ht="14.4" x14ac:dyDescent="0.3">
      <c r="A1736">
        <v>158010</v>
      </c>
      <c r="B1736" t="str">
        <f t="shared" si="54"/>
        <v>SEVROLL 214-380 Herkules plus horné vedenie 1,2m</v>
      </c>
      <c r="C1736" s="185" t="e">
        <f t="shared" si="55"/>
        <v>#N/A</v>
      </c>
      <c r="D1736" s="409" t="s">
        <v>1477</v>
      </c>
      <c r="E1736" s="409" t="s">
        <v>1907</v>
      </c>
      <c r="F1736" s="409" t="s">
        <v>5979</v>
      </c>
      <c r="G1736" s="409" t="s">
        <v>2434</v>
      </c>
      <c r="H1736" s="465" t="e">
        <v>#N/A</v>
      </c>
      <c r="I1736" s="465" t="e">
        <v>#N/A</v>
      </c>
      <c r="J1736" s="465" t="e">
        <v>#N/A</v>
      </c>
      <c r="K1736" s="465" t="e">
        <v>#N/A</v>
      </c>
      <c r="L1736" s="464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str">
        <f t="shared" si="54"/>
        <v>SEVROLL 215-093 vozík HP40 Herkules plus</v>
      </c>
      <c r="C1737" s="185" t="e">
        <f t="shared" si="55"/>
        <v>#N/A</v>
      </c>
      <c r="D1737" s="409" t="s">
        <v>1478</v>
      </c>
      <c r="E1737" s="409" t="s">
        <v>1908</v>
      </c>
      <c r="F1737" s="409" t="s">
        <v>1478</v>
      </c>
      <c r="G1737" s="409" t="s">
        <v>2435</v>
      </c>
      <c r="H1737" s="465" t="e">
        <v>#N/A</v>
      </c>
      <c r="I1737" s="465" t="e">
        <v>#N/A</v>
      </c>
      <c r="J1737" s="465" t="e">
        <v>#N/A</v>
      </c>
      <c r="K1737" s="465" t="e">
        <v>#N/A</v>
      </c>
      <c r="L1737" s="464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Záves dverí 25kg</v>
      </c>
      <c r="C1738" s="185">
        <f t="shared" si="55"/>
        <v>2.70635</v>
      </c>
      <c r="D1738" s="409" t="s">
        <v>1479</v>
      </c>
      <c r="E1738" s="409" t="s">
        <v>1909</v>
      </c>
      <c r="F1738" s="409" t="s">
        <v>5980</v>
      </c>
      <c r="G1738" s="409" t="s">
        <v>2436</v>
      </c>
      <c r="H1738" s="465">
        <v>71.749970000000005</v>
      </c>
      <c r="I1738" s="465">
        <v>2.70635</v>
      </c>
      <c r="J1738" s="465">
        <v>9.2333099999999995</v>
      </c>
      <c r="K1738" s="465">
        <v>1048.08233</v>
      </c>
      <c r="L1738" s="464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S-sada kovania S25</v>
      </c>
      <c r="C1739" s="185">
        <f t="shared" si="55"/>
        <v>51.735770000000002</v>
      </c>
      <c r="D1739" s="409" t="s">
        <v>8020</v>
      </c>
      <c r="E1739" s="409" t="s">
        <v>8021</v>
      </c>
      <c r="F1739" s="409" t="s">
        <v>8022</v>
      </c>
      <c r="G1739" s="409" t="s">
        <v>8023</v>
      </c>
      <c r="H1739" s="465">
        <v>1266.72</v>
      </c>
      <c r="I1739" s="465">
        <v>51.735770000000002</v>
      </c>
      <c r="J1739" s="465">
        <v>234.27858000000001</v>
      </c>
      <c r="K1739" s="465">
        <v>21963.29032</v>
      </c>
      <c r="L1739" s="464" t="s">
        <v>537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S-horná lišta S25 - 1m</v>
      </c>
      <c r="C1740" s="185">
        <f t="shared" si="55"/>
        <v>0</v>
      </c>
      <c r="D1740" s="409" t="s">
        <v>8024</v>
      </c>
      <c r="E1740" s="409" t="s">
        <v>8025</v>
      </c>
      <c r="F1740" s="409" t="s">
        <v>8026</v>
      </c>
      <c r="G1740" s="409" t="s">
        <v>8027</v>
      </c>
      <c r="H1740" s="465">
        <v>0</v>
      </c>
      <c r="I1740" s="465">
        <v>0</v>
      </c>
      <c r="J1740" s="465">
        <v>0</v>
      </c>
      <c r="K1740" s="465">
        <v>0</v>
      </c>
      <c r="L1740" s="464" t="s">
        <v>540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S-spodná lišta S25 - 1m</v>
      </c>
      <c r="C1741" s="185">
        <f t="shared" si="55"/>
        <v>0</v>
      </c>
      <c r="D1741" s="409" t="s">
        <v>8028</v>
      </c>
      <c r="E1741" s="409" t="s">
        <v>8029</v>
      </c>
      <c r="F1741" s="409" t="s">
        <v>8030</v>
      </c>
      <c r="G1741" s="409" t="s">
        <v>8031</v>
      </c>
      <c r="H1741" s="465">
        <v>0</v>
      </c>
      <c r="I1741" s="465">
        <v>0</v>
      </c>
      <c r="J1741" s="465">
        <v>0</v>
      </c>
      <c r="K1741" s="465">
        <v>0</v>
      </c>
      <c r="L1741" s="464" t="s">
        <v>540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IC-krycia lišta samolepiaca  3m šampáň</v>
      </c>
      <c r="C1742" s="185">
        <f t="shared" si="55"/>
        <v>6.9803300000000004</v>
      </c>
      <c r="D1742" s="409" t="s">
        <v>8032</v>
      </c>
      <c r="E1742" s="409" t="s">
        <v>8033</v>
      </c>
      <c r="F1742" s="409" t="s">
        <v>8034</v>
      </c>
      <c r="G1742" s="409" t="s">
        <v>8035</v>
      </c>
      <c r="H1742" s="465">
        <v>311.5</v>
      </c>
      <c r="I1742" s="465">
        <v>6.9803300000000004</v>
      </c>
      <c r="J1742" s="465">
        <v>37.371519999999997</v>
      </c>
      <c r="K1742" s="465">
        <v>6270.19355</v>
      </c>
      <c r="L1742" s="464" t="s">
        <v>539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IC-obojstranná lepiaca páska číra  14mm/50m</v>
      </c>
      <c r="C1743" s="185">
        <f t="shared" si="55"/>
        <v>19.894780000000001</v>
      </c>
      <c r="D1743" s="409" t="s">
        <v>8036</v>
      </c>
      <c r="E1743" s="409" t="s">
        <v>8037</v>
      </c>
      <c r="F1743" s="409" t="s">
        <v>8038</v>
      </c>
      <c r="G1743" s="409" t="s">
        <v>8039</v>
      </c>
      <c r="H1743" s="465">
        <v>509.25</v>
      </c>
      <c r="I1743" s="465">
        <v>19.894780000000001</v>
      </c>
      <c r="J1743" s="465">
        <v>72.301699999999997</v>
      </c>
      <c r="K1743" s="465">
        <v>0</v>
      </c>
      <c r="L1743" s="464" t="s">
        <v>537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9" t="e">
        <v>#N/A</v>
      </c>
      <c r="E1744" s="409" t="e">
        <v>#N/A</v>
      </c>
      <c r="F1744" s="409" t="e">
        <v>#N/A</v>
      </c>
      <c r="G1744" s="409" t="e">
        <v>#N/A</v>
      </c>
      <c r="H1744" s="465" t="e">
        <v>#N/A</v>
      </c>
      <c r="I1744" s="465" t="e">
        <v>#N/A</v>
      </c>
      <c r="J1744" s="465" t="e">
        <v>#N/A</v>
      </c>
      <c r="K1744" s="465" t="e">
        <v>#N/A</v>
      </c>
      <c r="L1744" s="464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9" t="e">
        <v>#N/A</v>
      </c>
      <c r="E1745" s="409" t="e">
        <v>#N/A</v>
      </c>
      <c r="F1745" s="409" t="e">
        <v>#N/A</v>
      </c>
      <c r="G1745" s="409" t="e">
        <v>#N/A</v>
      </c>
      <c r="H1745" s="465" t="e">
        <v>#N/A</v>
      </c>
      <c r="I1745" s="465" t="e">
        <v>#N/A</v>
      </c>
      <c r="J1745" s="465" t="e">
        <v>#N/A</v>
      </c>
      <c r="K1745" s="465" t="e">
        <v>#N/A</v>
      </c>
      <c r="L1745" s="464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S-madlo S70a - 2,7m (profil H09)</v>
      </c>
      <c r="C1746" s="185">
        <f t="shared" si="55"/>
        <v>0</v>
      </c>
      <c r="D1746" s="409" t="s">
        <v>8040</v>
      </c>
      <c r="E1746" s="409" t="s">
        <v>8041</v>
      </c>
      <c r="F1746" s="409" t="s">
        <v>8042</v>
      </c>
      <c r="G1746" s="409" t="s">
        <v>8043</v>
      </c>
      <c r="H1746" s="465">
        <v>0</v>
      </c>
      <c r="I1746" s="465">
        <v>0</v>
      </c>
      <c r="J1746" s="465">
        <v>0</v>
      </c>
      <c r="K1746" s="465">
        <v>0</v>
      </c>
      <c r="L1746" s="464" t="s">
        <v>540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S-madlo S70c - 2,7m (profil H11)</v>
      </c>
      <c r="C1747" s="185">
        <f t="shared" si="55"/>
        <v>0</v>
      </c>
      <c r="D1747" s="409" t="s">
        <v>8044</v>
      </c>
      <c r="E1747" s="409" t="s">
        <v>8045</v>
      </c>
      <c r="F1747" s="409" t="s">
        <v>8046</v>
      </c>
      <c r="G1747" s="409" t="s">
        <v>8047</v>
      </c>
      <c r="H1747" s="465">
        <v>0</v>
      </c>
      <c r="I1747" s="465">
        <v>0</v>
      </c>
      <c r="J1747" s="465">
        <v>0</v>
      </c>
      <c r="K1747" s="465">
        <v>0</v>
      </c>
      <c r="L1747" s="464" t="s">
        <v>540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S-brzda S35</v>
      </c>
      <c r="C1748" s="185">
        <f t="shared" si="55"/>
        <v>1.30826</v>
      </c>
      <c r="D1748" s="409" t="s">
        <v>8048</v>
      </c>
      <c r="E1748" s="409" t="s">
        <v>8049</v>
      </c>
      <c r="F1748" s="409" t="s">
        <v>8048</v>
      </c>
      <c r="G1748" s="409" t="s">
        <v>8050</v>
      </c>
      <c r="H1748" s="465">
        <v>32.031999999999996</v>
      </c>
      <c r="I1748" s="465">
        <v>1.30826</v>
      </c>
      <c r="J1748" s="465">
        <v>5.9242999999999997</v>
      </c>
      <c r="K1748" s="465">
        <v>555.39355</v>
      </c>
      <c r="L1748" s="464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9" t="e">
        <v>#N/A</v>
      </c>
      <c r="E1749" s="409" t="e">
        <v>#N/A</v>
      </c>
      <c r="F1749" s="409" t="e">
        <v>#N/A</v>
      </c>
      <c r="G1749" s="409" t="e">
        <v>#N/A</v>
      </c>
      <c r="H1749" s="465" t="e">
        <v>#N/A</v>
      </c>
      <c r="I1749" s="465" t="e">
        <v>#N/A</v>
      </c>
      <c r="J1749" s="465" t="e">
        <v>#N/A</v>
      </c>
      <c r="K1749" s="465" t="e">
        <v>#N/A</v>
      </c>
      <c r="L1749" s="464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tlmič</v>
      </c>
      <c r="C1750" s="185">
        <f t="shared" si="55"/>
        <v>22.93891</v>
      </c>
      <c r="D1750" s="409" t="s">
        <v>8051</v>
      </c>
      <c r="E1750" s="409" t="s">
        <v>8052</v>
      </c>
      <c r="F1750" s="409" t="s">
        <v>8053</v>
      </c>
      <c r="G1750" s="409" t="s">
        <v>8054</v>
      </c>
      <c r="H1750" s="465">
        <v>561.64574000000005</v>
      </c>
      <c r="I1750" s="465">
        <v>22.93891</v>
      </c>
      <c r="J1750" s="465">
        <v>103.87582</v>
      </c>
      <c r="K1750" s="465">
        <v>9738.2124299999996</v>
      </c>
      <c r="L1750" s="464" t="s">
        <v>537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 S09 str.elox 2,7m</v>
      </c>
      <c r="C1751" s="185">
        <f t="shared" si="55"/>
        <v>0</v>
      </c>
      <c r="D1751" s="409" t="s">
        <v>8055</v>
      </c>
      <c r="E1751" s="409" t="s">
        <v>8056</v>
      </c>
      <c r="F1751" s="409" t="s">
        <v>8057</v>
      </c>
      <c r="G1751" s="409" t="s">
        <v>8058</v>
      </c>
      <c r="H1751" s="465">
        <v>0</v>
      </c>
      <c r="I1751" s="465">
        <v>0</v>
      </c>
      <c r="J1751" s="465">
        <v>0</v>
      </c>
      <c r="K1751" s="465">
        <v>0</v>
      </c>
      <c r="L1751" s="464" t="s">
        <v>540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9" t="e">
        <v>#N/A</v>
      </c>
      <c r="E1752" s="409" t="e">
        <v>#N/A</v>
      </c>
      <c r="F1752" s="409" t="e">
        <v>#N/A</v>
      </c>
      <c r="G1752" s="409" t="e">
        <v>#N/A</v>
      </c>
      <c r="H1752" s="465" t="e">
        <v>#N/A</v>
      </c>
      <c r="I1752" s="465" t="e">
        <v>#N/A</v>
      </c>
      <c r="J1752" s="465" t="e">
        <v>#N/A</v>
      </c>
      <c r="K1752" s="465" t="e">
        <v>#N/A</v>
      </c>
      <c r="L1752" s="464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 S40/80 4m - ocel</v>
      </c>
      <c r="C1753" s="185">
        <f t="shared" si="55"/>
        <v>0</v>
      </c>
      <c r="D1753" s="409" t="s">
        <v>8059</v>
      </c>
      <c r="E1753" s="409" t="s">
        <v>8060</v>
      </c>
      <c r="F1753" s="409" t="s">
        <v>8061</v>
      </c>
      <c r="G1753" s="409" t="s">
        <v>8062</v>
      </c>
      <c r="H1753" s="465">
        <v>0</v>
      </c>
      <c r="I1753" s="465">
        <v>0</v>
      </c>
      <c r="J1753" s="465">
        <v>0</v>
      </c>
      <c r="K1753" s="465">
        <v>0</v>
      </c>
      <c r="L1753" s="464" t="s">
        <v>540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9" t="e">
        <v>#N/A</v>
      </c>
      <c r="E1754" s="409" t="e">
        <v>#N/A</v>
      </c>
      <c r="F1754" s="409" t="e">
        <v>#N/A</v>
      </c>
      <c r="G1754" s="409" t="e">
        <v>#N/A</v>
      </c>
      <c r="H1754" s="465" t="e">
        <v>#N/A</v>
      </c>
      <c r="I1754" s="465" t="e">
        <v>#N/A</v>
      </c>
      <c r="J1754" s="465" t="e">
        <v>#N/A</v>
      </c>
      <c r="K1754" s="465" t="e">
        <v>#N/A</v>
      </c>
      <c r="L1754" s="464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9" t="e">
        <v>#N/A</v>
      </c>
      <c r="E1755" s="409" t="e">
        <v>#N/A</v>
      </c>
      <c r="F1755" s="409" t="e">
        <v>#N/A</v>
      </c>
      <c r="G1755" s="409" t="e">
        <v>#N/A</v>
      </c>
      <c r="H1755" s="465" t="e">
        <v>#N/A</v>
      </c>
      <c r="I1755" s="465" t="e">
        <v>#N/A</v>
      </c>
      <c r="J1755" s="465" t="e">
        <v>#N/A</v>
      </c>
      <c r="K1755" s="465" t="e">
        <v>#N/A</v>
      </c>
      <c r="L1755" s="464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9" t="e">
        <v>#N/A</v>
      </c>
      <c r="E1756" s="409" t="e">
        <v>#N/A</v>
      </c>
      <c r="F1756" s="409" t="e">
        <v>#N/A</v>
      </c>
      <c r="G1756" s="409" t="e">
        <v>#N/A</v>
      </c>
      <c r="H1756" s="465" t="e">
        <v>#N/A</v>
      </c>
      <c r="I1756" s="465" t="e">
        <v>#N/A</v>
      </c>
      <c r="J1756" s="465" t="e">
        <v>#N/A</v>
      </c>
      <c r="K1756" s="465" t="e">
        <v>#N/A</v>
      </c>
      <c r="L1756" s="464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9" t="e">
        <v>#N/A</v>
      </c>
      <c r="E1757" s="409" t="e">
        <v>#N/A</v>
      </c>
      <c r="F1757" s="409" t="e">
        <v>#N/A</v>
      </c>
      <c r="G1757" s="409" t="e">
        <v>#N/A</v>
      </c>
      <c r="H1757" s="465" t="e">
        <v>#N/A</v>
      </c>
      <c r="I1757" s="465" t="e">
        <v>#N/A</v>
      </c>
      <c r="J1757" s="465" t="e">
        <v>#N/A</v>
      </c>
      <c r="K1757" s="465" t="e">
        <v>#N/A</v>
      </c>
      <c r="L1757" s="464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9" t="e">
        <v>#N/A</v>
      </c>
      <c r="E1758" s="409" t="e">
        <v>#N/A</v>
      </c>
      <c r="F1758" s="409" t="e">
        <v>#N/A</v>
      </c>
      <c r="G1758" s="409" t="e">
        <v>#N/A</v>
      </c>
      <c r="H1758" s="465" t="e">
        <v>#N/A</v>
      </c>
      <c r="I1758" s="465" t="e">
        <v>#N/A</v>
      </c>
      <c r="J1758" s="465" t="e">
        <v>#N/A</v>
      </c>
      <c r="K1758" s="465" t="e">
        <v>#N/A</v>
      </c>
      <c r="L1758" s="464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9" t="e">
        <v>#N/A</v>
      </c>
      <c r="E1759" s="409" t="e">
        <v>#N/A</v>
      </c>
      <c r="F1759" s="409" t="e">
        <v>#N/A</v>
      </c>
      <c r="G1759" s="409" t="e">
        <v>#N/A</v>
      </c>
      <c r="H1759" s="465" t="e">
        <v>#N/A</v>
      </c>
      <c r="I1759" s="465" t="e">
        <v>#N/A</v>
      </c>
      <c r="J1759" s="465" t="e">
        <v>#N/A</v>
      </c>
      <c r="K1759" s="465" t="e">
        <v>#N/A</v>
      </c>
      <c r="L1759" s="464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IC-horné vedenie EU 6m šampáň</v>
      </c>
      <c r="C1760" s="185">
        <f t="shared" si="55"/>
        <v>44.408149999999999</v>
      </c>
      <c r="D1760" s="409" t="s">
        <v>8063</v>
      </c>
      <c r="E1760" s="409" t="s">
        <v>8064</v>
      </c>
      <c r="F1760" s="409" t="s">
        <v>8065</v>
      </c>
      <c r="G1760" s="409" t="s">
        <v>8066</v>
      </c>
      <c r="H1760" s="465">
        <v>1854.125</v>
      </c>
      <c r="I1760" s="465">
        <v>44.408149999999999</v>
      </c>
      <c r="J1760" s="465">
        <v>244.88677999999999</v>
      </c>
      <c r="K1760" s="465">
        <v>37321.741950000003</v>
      </c>
      <c r="L1760" s="464" t="s">
        <v>539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IC-spodné vedenie EU 6m šampáň</v>
      </c>
      <c r="C1761" s="185">
        <f t="shared" si="55"/>
        <v>23.06908</v>
      </c>
      <c r="D1761" s="409" t="s">
        <v>8067</v>
      </c>
      <c r="E1761" s="409" t="s">
        <v>8068</v>
      </c>
      <c r="F1761" s="409" t="s">
        <v>8069</v>
      </c>
      <c r="G1761" s="409" t="s">
        <v>8070</v>
      </c>
      <c r="H1761" s="465">
        <v>837.375</v>
      </c>
      <c r="I1761" s="465">
        <v>23.06908</v>
      </c>
      <c r="J1761" s="465">
        <v>127.21342</v>
      </c>
      <c r="K1761" s="465">
        <v>16855.54838</v>
      </c>
      <c r="L1761" s="464" t="s">
        <v>539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IC-Horná vodiaca lištaEU 10mm 6m šampáň</v>
      </c>
      <c r="C1762" s="185">
        <f t="shared" si="55"/>
        <v>23.089510000000001</v>
      </c>
      <c r="D1762" s="409" t="s">
        <v>8071</v>
      </c>
      <c r="E1762" s="409" t="s">
        <v>8072</v>
      </c>
      <c r="F1762" s="409" t="s">
        <v>8073</v>
      </c>
      <c r="G1762" s="409" t="s">
        <v>8074</v>
      </c>
      <c r="H1762" s="465">
        <v>963.375</v>
      </c>
      <c r="I1762" s="465">
        <v>23.089510000000001</v>
      </c>
      <c r="J1762" s="465">
        <v>127.3261</v>
      </c>
      <c r="K1762" s="465">
        <v>19391.80646</v>
      </c>
      <c r="L1762" s="464" t="s">
        <v>539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IC-spodná krycia lišta EU 10mm 6m šampáň</v>
      </c>
      <c r="C1763" s="185">
        <f t="shared" si="55"/>
        <v>42.453360000000004</v>
      </c>
      <c r="D1763" s="409" t="s">
        <v>8075</v>
      </c>
      <c r="E1763" s="409" t="s">
        <v>8076</v>
      </c>
      <c r="F1763" s="409" t="s">
        <v>8077</v>
      </c>
      <c r="G1763" s="409" t="s">
        <v>8078</v>
      </c>
      <c r="H1763" s="465">
        <v>1772.75</v>
      </c>
      <c r="I1763" s="465">
        <v>42.453360000000004</v>
      </c>
      <c r="J1763" s="465">
        <v>234.10726</v>
      </c>
      <c r="K1763" s="465">
        <v>35683.741950000003</v>
      </c>
      <c r="L1763" s="464" t="s">
        <v>539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pos.interiérové kovanie, sada kovanie do 60kg</v>
      </c>
      <c r="C1764" s="185">
        <f t="shared" si="55"/>
        <v>136.76687999999999</v>
      </c>
      <c r="D1764" s="409" t="s">
        <v>8079</v>
      </c>
      <c r="E1764" s="409" t="s">
        <v>8080</v>
      </c>
      <c r="F1764" s="409" t="s">
        <v>8081</v>
      </c>
      <c r="G1764" s="409" t="s">
        <v>8082</v>
      </c>
      <c r="H1764" s="465">
        <v>3719.3849700000001</v>
      </c>
      <c r="I1764" s="465">
        <v>136.76687999999999</v>
      </c>
      <c r="J1764" s="465">
        <v>558.19456000000002</v>
      </c>
      <c r="K1764" s="465">
        <v>62896.194839999996</v>
      </c>
      <c r="L1764" s="464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pos.interiérové kovanie 100kg horné vedenie 2m elox</v>
      </c>
      <c r="C1765" s="185">
        <f t="shared" si="55"/>
        <v>40.002339999999997</v>
      </c>
      <c r="D1765" s="409" t="s">
        <v>8083</v>
      </c>
      <c r="E1765" s="409" t="s">
        <v>8084</v>
      </c>
      <c r="F1765" s="409" t="s">
        <v>8085</v>
      </c>
      <c r="G1765" s="409" t="s">
        <v>8086</v>
      </c>
      <c r="H1765" s="465">
        <v>1087.86636</v>
      </c>
      <c r="I1765" s="465">
        <v>40.002339999999997</v>
      </c>
      <c r="J1765" s="465">
        <v>163.26384999999999</v>
      </c>
      <c r="K1765" s="465">
        <v>18396.228309999999</v>
      </c>
      <c r="L1765" s="464" t="s">
        <v>539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</v>
      </c>
      <c r="C1766" s="185">
        <f t="shared" si="55"/>
        <v>151.47130000000001</v>
      </c>
      <c r="D1766" s="409" t="s">
        <v>8087</v>
      </c>
      <c r="E1766" s="409" t="s">
        <v>8088</v>
      </c>
      <c r="F1766" s="409" t="s">
        <v>8088</v>
      </c>
      <c r="G1766" s="409" t="s">
        <v>8089</v>
      </c>
      <c r="H1766" s="465">
        <v>4119.2725899999996</v>
      </c>
      <c r="I1766" s="465">
        <v>151.47130000000001</v>
      </c>
      <c r="J1766" s="465">
        <v>618.20856000000003</v>
      </c>
      <c r="K1766" s="465">
        <v>69658.444529999993</v>
      </c>
      <c r="L1766" s="464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 elox lišta dvojitá 3,5m</v>
      </c>
      <c r="C1767" s="185">
        <f t="shared" si="55"/>
        <v>48.274290000000001</v>
      </c>
      <c r="D1767" s="409" t="s">
        <v>8090</v>
      </c>
      <c r="E1767" s="409" t="s">
        <v>8091</v>
      </c>
      <c r="F1767" s="409" t="s">
        <v>8090</v>
      </c>
      <c r="G1767" s="409" t="s">
        <v>8092</v>
      </c>
      <c r="H1767" s="465">
        <v>1172.08</v>
      </c>
      <c r="I1767" s="465">
        <v>48.274290000000001</v>
      </c>
      <c r="J1767" s="465">
        <v>218.25976</v>
      </c>
      <c r="K1767" s="465">
        <v>19411.419549999999</v>
      </c>
      <c r="L1767" s="464" t="s">
        <v>540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9" t="e">
        <v>#N/A</v>
      </c>
      <c r="E1768" s="409" t="e">
        <v>#N/A</v>
      </c>
      <c r="F1768" s="409" t="e">
        <v>#N/A</v>
      </c>
      <c r="G1768" s="409" t="e">
        <v>#N/A</v>
      </c>
      <c r="H1768" s="465" t="e">
        <v>#N/A</v>
      </c>
      <c r="I1768" s="465" t="e">
        <v>#N/A</v>
      </c>
      <c r="J1768" s="465" t="e">
        <v>#N/A</v>
      </c>
      <c r="K1768" s="465" t="e">
        <v>#N/A</v>
      </c>
      <c r="L1768" s="464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9" t="e">
        <v>#N/A</v>
      </c>
      <c r="E1769" s="409" t="e">
        <v>#N/A</v>
      </c>
      <c r="F1769" s="409" t="e">
        <v>#N/A</v>
      </c>
      <c r="G1769" s="409" t="e">
        <v>#N/A</v>
      </c>
      <c r="H1769" s="465" t="e">
        <v>#N/A</v>
      </c>
      <c r="I1769" s="465" t="e">
        <v>#N/A</v>
      </c>
      <c r="J1769" s="465" t="e">
        <v>#N/A</v>
      </c>
      <c r="K1769" s="465" t="e">
        <v>#N/A</v>
      </c>
      <c r="L1769" s="464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9" t="e">
        <v>#N/A</v>
      </c>
      <c r="E1770" s="409" t="e">
        <v>#N/A</v>
      </c>
      <c r="F1770" s="409" t="e">
        <v>#N/A</v>
      </c>
      <c r="G1770" s="409" t="e">
        <v>#N/A</v>
      </c>
      <c r="H1770" s="465" t="e">
        <v>#N/A</v>
      </c>
      <c r="I1770" s="465" t="e">
        <v>#N/A</v>
      </c>
      <c r="J1770" s="465" t="e">
        <v>#N/A</v>
      </c>
      <c r="K1770" s="465" t="e">
        <v>#N/A</v>
      </c>
      <c r="L1770" s="464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9" t="e">
        <v>#N/A</v>
      </c>
      <c r="E1771" s="409" t="e">
        <v>#N/A</v>
      </c>
      <c r="F1771" s="409" t="e">
        <v>#N/A</v>
      </c>
      <c r="G1771" s="409" t="e">
        <v>#N/A</v>
      </c>
      <c r="H1771" s="465" t="e">
        <v>#N/A</v>
      </c>
      <c r="I1771" s="465" t="e">
        <v>#N/A</v>
      </c>
      <c r="J1771" s="465" t="e">
        <v>#N/A</v>
      </c>
      <c r="K1771" s="465" t="e">
        <v>#N/A</v>
      </c>
      <c r="L1771" s="464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9" t="e">
        <v>#N/A</v>
      </c>
      <c r="E1772" s="409" t="e">
        <v>#N/A</v>
      </c>
      <c r="F1772" s="409" t="e">
        <v>#N/A</v>
      </c>
      <c r="G1772" s="409" t="e">
        <v>#N/A</v>
      </c>
      <c r="H1772" s="465" t="e">
        <v>#N/A</v>
      </c>
      <c r="I1772" s="465" t="e">
        <v>#N/A</v>
      </c>
      <c r="J1772" s="465" t="e">
        <v>#N/A</v>
      </c>
      <c r="K1772" s="465" t="e">
        <v>#N/A</v>
      </c>
      <c r="L1772" s="464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9" t="e">
        <v>#N/A</v>
      </c>
      <c r="E1773" s="409" t="e">
        <v>#N/A</v>
      </c>
      <c r="F1773" s="409" t="e">
        <v>#N/A</v>
      </c>
      <c r="G1773" s="409" t="e">
        <v>#N/A</v>
      </c>
      <c r="H1773" s="465" t="e">
        <v>#N/A</v>
      </c>
      <c r="I1773" s="465" t="e">
        <v>#N/A</v>
      </c>
      <c r="J1773" s="465" t="e">
        <v>#N/A</v>
      </c>
      <c r="K1773" s="465" t="e">
        <v>#N/A</v>
      </c>
      <c r="L1773" s="464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9" t="e">
        <v>#N/A</v>
      </c>
      <c r="E1774" s="409" t="e">
        <v>#N/A</v>
      </c>
      <c r="F1774" s="409" t="e">
        <v>#N/A</v>
      </c>
      <c r="G1774" s="409" t="e">
        <v>#N/A</v>
      </c>
      <c r="H1774" s="465" t="e">
        <v>#N/A</v>
      </c>
      <c r="I1774" s="465" t="e">
        <v>#N/A</v>
      </c>
      <c r="J1774" s="465" t="e">
        <v>#N/A</v>
      </c>
      <c r="K1774" s="465" t="e">
        <v>#N/A</v>
      </c>
      <c r="L1774" s="464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9" t="e">
        <v>#N/A</v>
      </c>
      <c r="E1775" s="409" t="e">
        <v>#N/A</v>
      </c>
      <c r="F1775" s="409" t="e">
        <v>#N/A</v>
      </c>
      <c r="G1775" s="409" t="e">
        <v>#N/A</v>
      </c>
      <c r="H1775" s="465" t="e">
        <v>#N/A</v>
      </c>
      <c r="I1775" s="465" t="e">
        <v>#N/A</v>
      </c>
      <c r="J1775" s="465" t="e">
        <v>#N/A</v>
      </c>
      <c r="K1775" s="465" t="e">
        <v>#N/A</v>
      </c>
      <c r="L1775" s="464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9" t="e">
        <v>#N/A</v>
      </c>
      <c r="E1776" s="409" t="e">
        <v>#N/A</v>
      </c>
      <c r="F1776" s="409" t="e">
        <v>#N/A</v>
      </c>
      <c r="G1776" s="409" t="e">
        <v>#N/A</v>
      </c>
      <c r="H1776" s="465" t="e">
        <v>#N/A</v>
      </c>
      <c r="I1776" s="465" t="e">
        <v>#N/A</v>
      </c>
      <c r="J1776" s="465" t="e">
        <v>#N/A</v>
      </c>
      <c r="K1776" s="465" t="e">
        <v>#N/A</v>
      </c>
      <c r="L1776" s="464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9" t="e">
        <v>#N/A</v>
      </c>
      <c r="E1777" s="409" t="e">
        <v>#N/A</v>
      </c>
      <c r="F1777" s="409" t="e">
        <v>#N/A</v>
      </c>
      <c r="G1777" s="409" t="e">
        <v>#N/A</v>
      </c>
      <c r="H1777" s="465" t="e">
        <v>#N/A</v>
      </c>
      <c r="I1777" s="465" t="e">
        <v>#N/A</v>
      </c>
      <c r="J1777" s="465" t="e">
        <v>#N/A</v>
      </c>
      <c r="K1777" s="465" t="e">
        <v>#N/A</v>
      </c>
      <c r="L1777" s="464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9" t="e">
        <v>#N/A</v>
      </c>
      <c r="E1778" s="409" t="e">
        <v>#N/A</v>
      </c>
      <c r="F1778" s="409" t="e">
        <v>#N/A</v>
      </c>
      <c r="G1778" s="409" t="e">
        <v>#N/A</v>
      </c>
      <c r="H1778" s="465" t="e">
        <v>#N/A</v>
      </c>
      <c r="I1778" s="465" t="e">
        <v>#N/A</v>
      </c>
      <c r="J1778" s="465" t="e">
        <v>#N/A</v>
      </c>
      <c r="K1778" s="465" t="e">
        <v>#N/A</v>
      </c>
      <c r="L1778" s="464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9" t="e">
        <v>#N/A</v>
      </c>
      <c r="E1779" s="409" t="e">
        <v>#N/A</v>
      </c>
      <c r="F1779" s="409" t="e">
        <v>#N/A</v>
      </c>
      <c r="G1779" s="409" t="e">
        <v>#N/A</v>
      </c>
      <c r="H1779" s="465" t="e">
        <v>#N/A</v>
      </c>
      <c r="I1779" s="465" t="e">
        <v>#N/A</v>
      </c>
      <c r="J1779" s="465" t="e">
        <v>#N/A</v>
      </c>
      <c r="K1779" s="465" t="e">
        <v>#N/A</v>
      </c>
      <c r="L1779" s="464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9" t="e">
        <v>#N/A</v>
      </c>
      <c r="E1780" s="409" t="e">
        <v>#N/A</v>
      </c>
      <c r="F1780" s="409" t="e">
        <v>#N/A</v>
      </c>
      <c r="G1780" s="409" t="e">
        <v>#N/A</v>
      </c>
      <c r="H1780" s="465" t="e">
        <v>#N/A</v>
      </c>
      <c r="I1780" s="465" t="e">
        <v>#N/A</v>
      </c>
      <c r="J1780" s="465" t="e">
        <v>#N/A</v>
      </c>
      <c r="K1780" s="465" t="e">
        <v>#N/A</v>
      </c>
      <c r="L1780" s="464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9" t="e">
        <v>#N/A</v>
      </c>
      <c r="E1781" s="409" t="e">
        <v>#N/A</v>
      </c>
      <c r="F1781" s="409" t="e">
        <v>#N/A</v>
      </c>
      <c r="G1781" s="409" t="e">
        <v>#N/A</v>
      </c>
      <c r="H1781" s="465" t="e">
        <v>#N/A</v>
      </c>
      <c r="I1781" s="465" t="e">
        <v>#N/A</v>
      </c>
      <c r="J1781" s="465" t="e">
        <v>#N/A</v>
      </c>
      <c r="K1781" s="465" t="e">
        <v>#N/A</v>
      </c>
      <c r="L1781" s="464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9" t="e">
        <v>#N/A</v>
      </c>
      <c r="E1782" s="409" t="e">
        <v>#N/A</v>
      </c>
      <c r="F1782" s="409" t="e">
        <v>#N/A</v>
      </c>
      <c r="G1782" s="409" t="e">
        <v>#N/A</v>
      </c>
      <c r="H1782" s="465" t="e">
        <v>#N/A</v>
      </c>
      <c r="I1782" s="465" t="e">
        <v>#N/A</v>
      </c>
      <c r="J1782" s="465" t="e">
        <v>#N/A</v>
      </c>
      <c r="K1782" s="465" t="e">
        <v>#N/A</v>
      </c>
      <c r="L1782" s="464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S-SALU06 NN-dolný vodiaci profil 2m str.</v>
      </c>
      <c r="C1783" s="185">
        <f t="shared" si="55"/>
        <v>0</v>
      </c>
      <c r="D1783" s="409" t="s">
        <v>8093</v>
      </c>
      <c r="E1783" s="409" t="s">
        <v>8094</v>
      </c>
      <c r="F1783" s="409" t="s">
        <v>8095</v>
      </c>
      <c r="G1783" s="409" t="s">
        <v>8096</v>
      </c>
      <c r="H1783" s="465">
        <v>0</v>
      </c>
      <c r="I1783" s="465">
        <v>0</v>
      </c>
      <c r="J1783" s="465">
        <v>0</v>
      </c>
      <c r="K1783" s="465">
        <v>0</v>
      </c>
      <c r="L1783" s="464" t="s">
        <v>540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krycí profil (maska) 2m str.</v>
      </c>
      <c r="C1784" s="185">
        <f t="shared" si="55"/>
        <v>0</v>
      </c>
      <c r="D1784" s="409" t="s">
        <v>8097</v>
      </c>
      <c r="E1784" s="409" t="s">
        <v>8098</v>
      </c>
      <c r="F1784" s="409" t="s">
        <v>8099</v>
      </c>
      <c r="G1784" s="409" t="s">
        <v>8100</v>
      </c>
      <c r="H1784" s="465">
        <v>0</v>
      </c>
      <c r="I1784" s="465">
        <v>0</v>
      </c>
      <c r="J1784" s="465">
        <v>0</v>
      </c>
      <c r="K1784" s="465">
        <v>0</v>
      </c>
      <c r="L1784" s="464" t="s">
        <v>540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krycí profil 3,5m strieborný elox</v>
      </c>
      <c r="C1785" s="185">
        <f t="shared" si="55"/>
        <v>0</v>
      </c>
      <c r="D1785" s="409" t="s">
        <v>8101</v>
      </c>
      <c r="E1785" s="409" t="s">
        <v>8102</v>
      </c>
      <c r="F1785" s="409" t="s">
        <v>8103</v>
      </c>
      <c r="G1785" s="409" t="s">
        <v>8104</v>
      </c>
      <c r="H1785" s="465">
        <v>0</v>
      </c>
      <c r="I1785" s="465">
        <v>0</v>
      </c>
      <c r="J1785" s="465">
        <v>0</v>
      </c>
      <c r="K1785" s="465">
        <v>0</v>
      </c>
      <c r="L1785" s="464" t="s">
        <v>540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horné vedenie 3m biela mat</v>
      </c>
      <c r="C1786" s="185">
        <f t="shared" si="55"/>
        <v>32.476199999999999</v>
      </c>
      <c r="D1786" s="409" t="s">
        <v>1480</v>
      </c>
      <c r="E1786" s="409" t="s">
        <v>1910</v>
      </c>
      <c r="F1786" s="409" t="s">
        <v>5981</v>
      </c>
      <c r="G1786" s="409" t="s">
        <v>5982</v>
      </c>
      <c r="H1786" s="465">
        <v>903.23748000000001</v>
      </c>
      <c r="I1786" s="465">
        <v>32.476199999999999</v>
      </c>
      <c r="J1786" s="465">
        <v>131.79419999999999</v>
      </c>
      <c r="K1786" s="465">
        <v>12943.81868</v>
      </c>
      <c r="L1786" s="464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9" t="e">
        <v>#N/A</v>
      </c>
      <c r="E1787" s="409" t="e">
        <v>#N/A</v>
      </c>
      <c r="F1787" s="409" t="e">
        <v>#N/A</v>
      </c>
      <c r="G1787" s="409" t="e">
        <v>#N/A</v>
      </c>
      <c r="H1787" s="465" t="e">
        <v>#N/A</v>
      </c>
      <c r="I1787" s="465" t="e">
        <v>#N/A</v>
      </c>
      <c r="J1787" s="465" t="e">
        <v>#N/A</v>
      </c>
      <c r="K1787" s="465" t="e">
        <v>#N/A</v>
      </c>
      <c r="L1787" s="464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9" t="e">
        <v>#N/A</v>
      </c>
      <c r="E1788" s="409" t="e">
        <v>#N/A</v>
      </c>
      <c r="F1788" s="409" t="e">
        <v>#N/A</v>
      </c>
      <c r="G1788" s="409" t="e">
        <v>#N/A</v>
      </c>
      <c r="H1788" s="465" t="e">
        <v>#N/A</v>
      </c>
      <c r="I1788" s="465" t="e">
        <v>#N/A</v>
      </c>
      <c r="J1788" s="465" t="e">
        <v>#N/A</v>
      </c>
      <c r="K1788" s="465" t="e">
        <v>#N/A</v>
      </c>
      <c r="L1788" s="464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9" t="e">
        <v>#N/A</v>
      </c>
      <c r="E1789" s="409" t="e">
        <v>#N/A</v>
      </c>
      <c r="F1789" s="409" t="e">
        <v>#N/A</v>
      </c>
      <c r="G1789" s="409" t="e">
        <v>#N/A</v>
      </c>
      <c r="H1789" s="465" t="e">
        <v>#N/A</v>
      </c>
      <c r="I1789" s="465" t="e">
        <v>#N/A</v>
      </c>
      <c r="J1789" s="465" t="e">
        <v>#N/A</v>
      </c>
      <c r="K1789" s="465" t="e">
        <v>#N/A</v>
      </c>
      <c r="L1789" s="464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S-sada kovania S55B</v>
      </c>
      <c r="C1790" s="185">
        <f t="shared" si="55"/>
        <v>12.19061</v>
      </c>
      <c r="D1790" s="409" t="s">
        <v>8105</v>
      </c>
      <c r="E1790" s="409" t="s">
        <v>8106</v>
      </c>
      <c r="F1790" s="409" t="s">
        <v>8107</v>
      </c>
      <c r="G1790" s="409" t="s">
        <v>8108</v>
      </c>
      <c r="H1790" s="465">
        <v>298.48</v>
      </c>
      <c r="I1790" s="465">
        <v>12.19061</v>
      </c>
      <c r="J1790" s="465">
        <v>55.203560000000003</v>
      </c>
      <c r="K1790" s="465">
        <v>5175.2580600000001</v>
      </c>
      <c r="L1790" s="464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IC-tesnenie na sklo 10/6mm</v>
      </c>
      <c r="C1791" s="185">
        <f t="shared" si="55"/>
        <v>0.78668000000000005</v>
      </c>
      <c r="D1791" s="409" t="s">
        <v>8109</v>
      </c>
      <c r="E1791" s="409" t="s">
        <v>8110</v>
      </c>
      <c r="F1791" s="409" t="s">
        <v>8111</v>
      </c>
      <c r="G1791" s="409" t="s">
        <v>8112</v>
      </c>
      <c r="H1791" s="465">
        <v>20.212499999999999</v>
      </c>
      <c r="I1791" s="465">
        <v>0.78668000000000005</v>
      </c>
      <c r="J1791" s="465">
        <v>4.3380999999999998</v>
      </c>
      <c r="K1791" s="465">
        <v>0</v>
      </c>
      <c r="L1791" s="464" t="s">
        <v>537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IC-horné vedenie  jednoduché 2m šampáň</v>
      </c>
      <c r="C1792" s="185">
        <f t="shared" si="55"/>
        <v>10.352819999999999</v>
      </c>
      <c r="D1792" s="409" t="s">
        <v>8113</v>
      </c>
      <c r="E1792" s="409" t="s">
        <v>8114</v>
      </c>
      <c r="F1792" s="409" t="s">
        <v>8115</v>
      </c>
      <c r="G1792" s="409" t="s">
        <v>8116</v>
      </c>
      <c r="H1792" s="465">
        <v>432.25</v>
      </c>
      <c r="I1792" s="465">
        <v>10.352819999999999</v>
      </c>
      <c r="J1792" s="465">
        <v>57.090179999999997</v>
      </c>
      <c r="K1792" s="465">
        <v>8700.7741999999998</v>
      </c>
      <c r="L1792" s="464" t="s">
        <v>539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IC-horné vedenie  jednoduché 3m šampáň</v>
      </c>
      <c r="C1793" s="185">
        <f t="shared" si="55"/>
        <v>15.256779999999999</v>
      </c>
      <c r="D1793" s="409" t="s">
        <v>8117</v>
      </c>
      <c r="E1793" s="409" t="s">
        <v>8118</v>
      </c>
      <c r="F1793" s="409" t="s">
        <v>8119</v>
      </c>
      <c r="G1793" s="409" t="s">
        <v>8120</v>
      </c>
      <c r="H1793" s="465">
        <v>637</v>
      </c>
      <c r="I1793" s="465">
        <v>15.256779999999999</v>
      </c>
      <c r="J1793" s="465">
        <v>84.13288</v>
      </c>
      <c r="K1793" s="465">
        <v>12822.19355</v>
      </c>
      <c r="L1793" s="464" t="s">
        <v>539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IC-horné vedenie  jednoduché 5m šampáň</v>
      </c>
      <c r="C1794" s="185">
        <f t="shared" si="55"/>
        <v>23.123560000000001</v>
      </c>
      <c r="D1794" s="409" t="s">
        <v>8121</v>
      </c>
      <c r="E1794" s="409" t="s">
        <v>8122</v>
      </c>
      <c r="F1794" s="409" t="s">
        <v>8123</v>
      </c>
      <c r="G1794" s="409" t="s">
        <v>8124</v>
      </c>
      <c r="H1794" s="465">
        <v>965.125</v>
      </c>
      <c r="I1794" s="465">
        <v>23.123560000000001</v>
      </c>
      <c r="J1794" s="465">
        <v>127.51390000000001</v>
      </c>
      <c r="K1794" s="465">
        <v>19427.03225</v>
      </c>
      <c r="L1794" s="464" t="s">
        <v>539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IC-spodné vedenie  jednoduché 2m šampáň</v>
      </c>
      <c r="C1795" s="185">
        <f t="shared" si="55"/>
        <v>4.7336999999999998</v>
      </c>
      <c r="D1795" s="409" t="s">
        <v>8125</v>
      </c>
      <c r="E1795" s="409" t="s">
        <v>8126</v>
      </c>
      <c r="F1795" s="409" t="s">
        <v>8127</v>
      </c>
      <c r="G1795" s="409" t="s">
        <v>8128</v>
      </c>
      <c r="H1795" s="465">
        <v>197.75</v>
      </c>
      <c r="I1795" s="465">
        <v>4.7336999999999998</v>
      </c>
      <c r="J1795" s="465">
        <v>26.103719999999999</v>
      </c>
      <c r="K1795" s="465">
        <v>3980.51613</v>
      </c>
      <c r="L1795" s="464" t="s">
        <v>539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IC-spodné vedenie  jednoduché 3m šampáň</v>
      </c>
      <c r="C1796" s="185">
        <f t="shared" ref="C1796:C1859" si="57">IF($A$2=1,H1796,IF($A$2=2,I1796,IF($A$2=3,J1796,IF($A$2=4,K1796,IF($A$2&gt;4,O1796,"zadat jazyk")))))</f>
        <v>6.9472899999999997</v>
      </c>
      <c r="D1796" s="409" t="s">
        <v>8129</v>
      </c>
      <c r="E1796" s="409" t="s">
        <v>8130</v>
      </c>
      <c r="F1796" s="409" t="s">
        <v>8131</v>
      </c>
      <c r="G1796" s="409" t="s">
        <v>8132</v>
      </c>
      <c r="H1796" s="465">
        <v>289.625</v>
      </c>
      <c r="I1796" s="465">
        <v>6.9472899999999997</v>
      </c>
      <c r="J1796" s="465">
        <v>38.310499999999998</v>
      </c>
      <c r="K1796" s="465">
        <v>5829.8709600000002</v>
      </c>
      <c r="L1796" s="464" t="s">
        <v>539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IC-spodné vedenie  jednoduché 5m šampáň</v>
      </c>
      <c r="C1797" s="185">
        <f t="shared" si="57"/>
        <v>10.55715</v>
      </c>
      <c r="D1797" s="409" t="s">
        <v>8133</v>
      </c>
      <c r="E1797" s="409" t="s">
        <v>8134</v>
      </c>
      <c r="F1797" s="409" t="s">
        <v>8135</v>
      </c>
      <c r="G1797" s="409" t="s">
        <v>8136</v>
      </c>
      <c r="H1797" s="465">
        <v>441</v>
      </c>
      <c r="I1797" s="465">
        <v>10.55715</v>
      </c>
      <c r="J1797" s="465">
        <v>58.21696</v>
      </c>
      <c r="K1797" s="465">
        <v>8876.9032200000001</v>
      </c>
      <c r="L1797" s="464" t="s">
        <v>539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IC-úch.lišta Comfort 12mm 2,6m šampáň</v>
      </c>
      <c r="C1798" s="185">
        <f t="shared" si="57"/>
        <v>10.965820000000001</v>
      </c>
      <c r="D1798" s="409" t="s">
        <v>8137</v>
      </c>
      <c r="E1798" s="409" t="s">
        <v>8138</v>
      </c>
      <c r="F1798" s="409" t="s">
        <v>8139</v>
      </c>
      <c r="G1798" s="409" t="s">
        <v>8140</v>
      </c>
      <c r="H1798" s="465">
        <v>281.75</v>
      </c>
      <c r="I1798" s="465">
        <v>10.965820000000001</v>
      </c>
      <c r="J1798" s="465">
        <v>60.470500000000001</v>
      </c>
      <c r="K1798" s="465">
        <v>10479.67742</v>
      </c>
      <c r="L1798" s="464" t="s">
        <v>539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9" t="e">
        <v>#N/A</v>
      </c>
      <c r="E1799" s="409" t="e">
        <v>#N/A</v>
      </c>
      <c r="F1799" s="409" t="e">
        <v>#N/A</v>
      </c>
      <c r="G1799" s="409" t="e">
        <v>#N/A</v>
      </c>
      <c r="H1799" s="465" t="e">
        <v>#N/A</v>
      </c>
      <c r="I1799" s="465" t="e">
        <v>#N/A</v>
      </c>
      <c r="J1799" s="465" t="e">
        <v>#N/A</v>
      </c>
      <c r="K1799" s="465" t="e">
        <v>#N/A</v>
      </c>
      <c r="L1799" s="464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9" t="e">
        <v>#N/A</v>
      </c>
      <c r="E1800" s="409" t="e">
        <v>#N/A</v>
      </c>
      <c r="F1800" s="409" t="e">
        <v>#N/A</v>
      </c>
      <c r="G1800" s="409" t="e">
        <v>#N/A</v>
      </c>
      <c r="H1800" s="465" t="e">
        <v>#N/A</v>
      </c>
      <c r="I1800" s="465" t="e">
        <v>#N/A</v>
      </c>
      <c r="J1800" s="465" t="e">
        <v>#N/A</v>
      </c>
      <c r="K1800" s="465" t="e">
        <v>#N/A</v>
      </c>
      <c r="L1800" s="464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9" t="e">
        <v>#N/A</v>
      </c>
      <c r="E1801" s="409" t="e">
        <v>#N/A</v>
      </c>
      <c r="F1801" s="409" t="e">
        <v>#N/A</v>
      </c>
      <c r="G1801" s="409" t="e">
        <v>#N/A</v>
      </c>
      <c r="H1801" s="465" t="e">
        <v>#N/A</v>
      </c>
      <c r="I1801" s="465" t="e">
        <v>#N/A</v>
      </c>
      <c r="J1801" s="465" t="e">
        <v>#N/A</v>
      </c>
      <c r="K1801" s="465" t="e">
        <v>#N/A</v>
      </c>
      <c r="L1801" s="464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9" t="e">
        <v>#N/A</v>
      </c>
      <c r="E1802" s="409" t="e">
        <v>#N/A</v>
      </c>
      <c r="F1802" s="409" t="e">
        <v>#N/A</v>
      </c>
      <c r="G1802" s="409" t="e">
        <v>#N/A</v>
      </c>
      <c r="H1802" s="465" t="e">
        <v>#N/A</v>
      </c>
      <c r="I1802" s="465" t="e">
        <v>#N/A</v>
      </c>
      <c r="J1802" s="465" t="e">
        <v>#N/A</v>
      </c>
      <c r="K1802" s="465" t="e">
        <v>#N/A</v>
      </c>
      <c r="L1802" s="464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9" t="e">
        <v>#N/A</v>
      </c>
      <c r="E1803" s="409" t="e">
        <v>#N/A</v>
      </c>
      <c r="F1803" s="409" t="e">
        <v>#N/A</v>
      </c>
      <c r="G1803" s="409" t="e">
        <v>#N/A</v>
      </c>
      <c r="H1803" s="465" t="e">
        <v>#N/A</v>
      </c>
      <c r="I1803" s="465" t="e">
        <v>#N/A</v>
      </c>
      <c r="J1803" s="465" t="e">
        <v>#N/A</v>
      </c>
      <c r="K1803" s="465" t="e">
        <v>#N/A</v>
      </c>
      <c r="L1803" s="464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9" t="e">
        <v>#N/A</v>
      </c>
      <c r="E1804" s="409" t="e">
        <v>#N/A</v>
      </c>
      <c r="F1804" s="409" t="e">
        <v>#N/A</v>
      </c>
      <c r="G1804" s="409" t="e">
        <v>#N/A</v>
      </c>
      <c r="H1804" s="465" t="e">
        <v>#N/A</v>
      </c>
      <c r="I1804" s="465" t="e">
        <v>#N/A</v>
      </c>
      <c r="J1804" s="465" t="e">
        <v>#N/A</v>
      </c>
      <c r="K1804" s="465" t="e">
        <v>#N/A</v>
      </c>
      <c r="L1804" s="464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tlmič</v>
      </c>
      <c r="C1805" s="185">
        <f t="shared" si="57"/>
        <v>0</v>
      </c>
      <c r="D1805" s="409" t="s">
        <v>8141</v>
      </c>
      <c r="E1805" s="409" t="s">
        <v>8142</v>
      </c>
      <c r="F1805" s="409" t="s">
        <v>8143</v>
      </c>
      <c r="G1805" s="409" t="s">
        <v>8144</v>
      </c>
      <c r="H1805" s="465">
        <v>0</v>
      </c>
      <c r="I1805" s="465">
        <v>0</v>
      </c>
      <c r="J1805" s="465">
        <v>0</v>
      </c>
      <c r="K1805" s="465">
        <v>0</v>
      </c>
      <c r="L1805" s="464" t="s">
        <v>540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9" t="e">
        <v>#N/A</v>
      </c>
      <c r="E1806" s="409" t="e">
        <v>#N/A</v>
      </c>
      <c r="F1806" s="409" t="e">
        <v>#N/A</v>
      </c>
      <c r="G1806" s="409" t="e">
        <v>#N/A</v>
      </c>
      <c r="H1806" s="465" t="e">
        <v>#N/A</v>
      </c>
      <c r="I1806" s="465" t="e">
        <v>#N/A</v>
      </c>
      <c r="J1806" s="465" t="e">
        <v>#N/A</v>
      </c>
      <c r="K1806" s="465" t="e">
        <v>#N/A</v>
      </c>
      <c r="L1806" s="464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9" t="e">
        <v>#N/A</v>
      </c>
      <c r="E1807" s="409" t="e">
        <v>#N/A</v>
      </c>
      <c r="F1807" s="409" t="e">
        <v>#N/A</v>
      </c>
      <c r="G1807" s="409" t="e">
        <v>#N/A</v>
      </c>
      <c r="H1807" s="465" t="e">
        <v>#N/A</v>
      </c>
      <c r="I1807" s="465" t="e">
        <v>#N/A</v>
      </c>
      <c r="J1807" s="465" t="e">
        <v>#N/A</v>
      </c>
      <c r="K1807" s="465" t="e">
        <v>#N/A</v>
      </c>
      <c r="L1807" s="464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9" t="e">
        <v>#N/A</v>
      </c>
      <c r="E1808" s="409" t="e">
        <v>#N/A</v>
      </c>
      <c r="F1808" s="409" t="e">
        <v>#N/A</v>
      </c>
      <c r="G1808" s="409" t="e">
        <v>#N/A</v>
      </c>
      <c r="H1808" s="465" t="e">
        <v>#N/A</v>
      </c>
      <c r="I1808" s="465" t="e">
        <v>#N/A</v>
      </c>
      <c r="J1808" s="465" t="e">
        <v>#N/A</v>
      </c>
      <c r="K1808" s="465" t="e">
        <v>#N/A</v>
      </c>
      <c r="L1808" s="464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9" t="e">
        <v>#N/A</v>
      </c>
      <c r="E1809" s="409" t="e">
        <v>#N/A</v>
      </c>
      <c r="F1809" s="409" t="e">
        <v>#N/A</v>
      </c>
      <c r="G1809" s="409" t="e">
        <v>#N/A</v>
      </c>
      <c r="H1809" s="465" t="e">
        <v>#N/A</v>
      </c>
      <c r="I1809" s="465" t="e">
        <v>#N/A</v>
      </c>
      <c r="J1809" s="465" t="e">
        <v>#N/A</v>
      </c>
      <c r="K1809" s="465" t="e">
        <v>#N/A</v>
      </c>
      <c r="L1809" s="464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9" t="e">
        <v>#N/A</v>
      </c>
      <c r="E1810" s="409" t="e">
        <v>#N/A</v>
      </c>
      <c r="F1810" s="409" t="e">
        <v>#N/A</v>
      </c>
      <c r="G1810" s="409" t="e">
        <v>#N/A</v>
      </c>
      <c r="H1810" s="465" t="e">
        <v>#N/A</v>
      </c>
      <c r="I1810" s="465" t="e">
        <v>#N/A</v>
      </c>
      <c r="J1810" s="465" t="e">
        <v>#N/A</v>
      </c>
      <c r="K1810" s="465" t="e">
        <v>#N/A</v>
      </c>
      <c r="L1810" s="464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 S04N strieborný elox 2,7m</v>
      </c>
      <c r="C1811" s="185">
        <f t="shared" si="57"/>
        <v>24.856950000000001</v>
      </c>
      <c r="D1811" s="409" t="s">
        <v>8145</v>
      </c>
      <c r="E1811" s="409" t="s">
        <v>8146</v>
      </c>
      <c r="F1811" s="409" t="s">
        <v>8147</v>
      </c>
      <c r="G1811" s="409" t="s">
        <v>8148</v>
      </c>
      <c r="H1811" s="465">
        <v>608.60799999999995</v>
      </c>
      <c r="I1811" s="465">
        <v>24.856950000000001</v>
      </c>
      <c r="J1811" s="465">
        <v>112.56143</v>
      </c>
      <c r="K1811" s="465">
        <v>10552.47741</v>
      </c>
      <c r="L1811" s="464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vodiaci profil alu elox 1,2m</v>
      </c>
      <c r="C1812" s="185">
        <f t="shared" si="57"/>
        <v>5.6136200000000001</v>
      </c>
      <c r="D1812" s="409" t="s">
        <v>8149</v>
      </c>
      <c r="E1812" s="409" t="s">
        <v>8150</v>
      </c>
      <c r="F1812" s="409" t="s">
        <v>8151</v>
      </c>
      <c r="G1812" s="409" t="s">
        <v>8152</v>
      </c>
      <c r="H1812" s="465">
        <v>137.44640000000001</v>
      </c>
      <c r="I1812" s="465">
        <v>5.6136200000000001</v>
      </c>
      <c r="J1812" s="465">
        <v>25.420570000000001</v>
      </c>
      <c r="K1812" s="465">
        <v>2383.1432300000001</v>
      </c>
      <c r="L1812" s="464" t="s">
        <v>537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dolná priečka 3m strieborná</v>
      </c>
      <c r="C1813" s="185">
        <f t="shared" si="57"/>
        <v>0</v>
      </c>
      <c r="D1813" s="409" t="s">
        <v>8153</v>
      </c>
      <c r="E1813" s="409" t="s">
        <v>8154</v>
      </c>
      <c r="F1813" s="409" t="s">
        <v>8155</v>
      </c>
      <c r="G1813" s="409" t="s">
        <v>8156</v>
      </c>
      <c r="H1813" s="465">
        <v>0</v>
      </c>
      <c r="I1813" s="465">
        <v>0</v>
      </c>
      <c r="J1813" s="465">
        <v>0</v>
      </c>
      <c r="K1813" s="465">
        <v>0</v>
      </c>
      <c r="L1813" s="464" t="s">
        <v>540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S-tesnenie pre sklo 4mm</v>
      </c>
      <c r="C1814" s="185">
        <f t="shared" si="57"/>
        <v>1.4418299999999999</v>
      </c>
      <c r="D1814" s="409" t="s">
        <v>8157</v>
      </c>
      <c r="E1814" s="409" t="s">
        <v>8158</v>
      </c>
      <c r="F1814" s="409" t="s">
        <v>8159</v>
      </c>
      <c r="G1814" s="409" t="s">
        <v>8160</v>
      </c>
      <c r="H1814" s="465">
        <v>35.302460000000004</v>
      </c>
      <c r="I1814" s="465">
        <v>1.4418299999999999</v>
      </c>
      <c r="J1814" s="465">
        <v>6.5291499999999996</v>
      </c>
      <c r="K1814" s="465">
        <v>612.09911</v>
      </c>
      <c r="L1814" s="464" t="s">
        <v>537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 S16 2,7m strieborna</v>
      </c>
      <c r="C1815" s="185">
        <f t="shared" si="57"/>
        <v>0</v>
      </c>
      <c r="D1815" s="409" t="s">
        <v>8161</v>
      </c>
      <c r="E1815" s="409" t="s">
        <v>8162</v>
      </c>
      <c r="F1815" s="409" t="s">
        <v>8163</v>
      </c>
      <c r="G1815" s="409" t="s">
        <v>8164</v>
      </c>
      <c r="H1815" s="465">
        <v>0</v>
      </c>
      <c r="I1815" s="465">
        <v>0</v>
      </c>
      <c r="J1815" s="465">
        <v>0</v>
      </c>
      <c r="K1815" s="465">
        <v>0</v>
      </c>
      <c r="L1815" s="464" t="s">
        <v>540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napínacia vzpera 1860mm</v>
      </c>
      <c r="C1816" s="185">
        <f t="shared" si="57"/>
        <v>31.3</v>
      </c>
      <c r="D1816" s="409" t="s">
        <v>8165</v>
      </c>
      <c r="E1816" s="409" t="s">
        <v>8166</v>
      </c>
      <c r="F1816" s="409" t="s">
        <v>8167</v>
      </c>
      <c r="G1816" s="409" t="s">
        <v>8168</v>
      </c>
      <c r="H1816" s="465">
        <v>749</v>
      </c>
      <c r="I1816" s="465">
        <v>31.3</v>
      </c>
      <c r="J1816" s="465">
        <v>27.606100000000001</v>
      </c>
      <c r="K1816" s="465">
        <v>2656.3219199999999</v>
      </c>
      <c r="L1816" s="464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9" t="e">
        <v>#N/A</v>
      </c>
      <c r="E1817" s="409" t="e">
        <v>#N/A</v>
      </c>
      <c r="F1817" s="409" t="e">
        <v>#N/A</v>
      </c>
      <c r="G1817" s="409" t="e">
        <v>#N/A</v>
      </c>
      <c r="H1817" s="465" t="e">
        <v>#N/A</v>
      </c>
      <c r="I1817" s="465" t="e">
        <v>#N/A</v>
      </c>
      <c r="J1817" s="465" t="e">
        <v>#N/A</v>
      </c>
      <c r="K1817" s="465" t="e">
        <v>#N/A</v>
      </c>
      <c r="L1817" s="464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S-tesnenie pre sklo 6mm</v>
      </c>
      <c r="C1818" s="185">
        <f t="shared" si="57"/>
        <v>0</v>
      </c>
      <c r="D1818" s="409" t="s">
        <v>8169</v>
      </c>
      <c r="E1818" s="409" t="s">
        <v>8170</v>
      </c>
      <c r="F1818" s="409" t="s">
        <v>8171</v>
      </c>
      <c r="G1818" s="409" t="s">
        <v>8172</v>
      </c>
      <c r="H1818" s="465">
        <v>0</v>
      </c>
      <c r="I1818" s="465">
        <v>0</v>
      </c>
      <c r="J1818" s="465">
        <v>0</v>
      </c>
      <c r="K1818" s="465">
        <v>0</v>
      </c>
      <c r="L1818" s="464" t="s">
        <v>540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dolná priečka 3,5m strieborná</v>
      </c>
      <c r="C1819" s="185">
        <f t="shared" si="57"/>
        <v>0</v>
      </c>
      <c r="D1819" s="409" t="s">
        <v>8173</v>
      </c>
      <c r="E1819" s="409" t="s">
        <v>8174</v>
      </c>
      <c r="F1819" s="409" t="s">
        <v>8175</v>
      </c>
      <c r="G1819" s="409" t="s">
        <v>8176</v>
      </c>
      <c r="H1819" s="465">
        <v>0</v>
      </c>
      <c r="I1819" s="465">
        <v>0</v>
      </c>
      <c r="J1819" s="465">
        <v>0</v>
      </c>
      <c r="K1819" s="465">
        <v>0</v>
      </c>
      <c r="L1819" s="464" t="s">
        <v>540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horná a stredová priečka 3,5m strieborná</v>
      </c>
      <c r="C1820" s="185">
        <f t="shared" si="57"/>
        <v>0</v>
      </c>
      <c r="D1820" s="409" t="s">
        <v>8177</v>
      </c>
      <c r="E1820" s="409" t="s">
        <v>8178</v>
      </c>
      <c r="F1820" s="409" t="s">
        <v>8179</v>
      </c>
      <c r="G1820" s="409" t="s">
        <v>8180</v>
      </c>
      <c r="H1820" s="465">
        <v>0</v>
      </c>
      <c r="I1820" s="465">
        <v>0</v>
      </c>
      <c r="J1820" s="465">
        <v>0</v>
      </c>
      <c r="K1820" s="465">
        <v>0</v>
      </c>
      <c r="L1820" s="464" t="s">
        <v>540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/>
      </c>
      <c r="C1821" s="185">
        <f t="shared" si="57"/>
        <v>0</v>
      </c>
      <c r="D1821" s="409" t="s">
        <v>8181</v>
      </c>
      <c r="E1821" s="409" t="s">
        <v>8182</v>
      </c>
      <c r="F1821" s="409" t="s">
        <v>68</v>
      </c>
      <c r="G1821" s="409" t="s">
        <v>8183</v>
      </c>
      <c r="H1821" s="465">
        <v>0</v>
      </c>
      <c r="I1821" s="465">
        <v>0</v>
      </c>
      <c r="J1821" s="465">
        <v>0</v>
      </c>
      <c r="K1821" s="465">
        <v>0</v>
      </c>
      <c r="L1821" s="464" t="s">
        <v>540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tlmič</v>
      </c>
      <c r="C1822" s="185">
        <f t="shared" si="57"/>
        <v>0</v>
      </c>
      <c r="D1822" s="409" t="s">
        <v>8184</v>
      </c>
      <c r="E1822" s="409" t="s">
        <v>8185</v>
      </c>
      <c r="F1822" s="409" t="s">
        <v>8186</v>
      </c>
      <c r="G1822" s="409" t="s">
        <v>8187</v>
      </c>
      <c r="H1822" s="465">
        <v>0</v>
      </c>
      <c r="I1822" s="465">
        <v>0</v>
      </c>
      <c r="J1822" s="465">
        <v>0</v>
      </c>
      <c r="K1822" s="465">
        <v>0</v>
      </c>
      <c r="L1822" s="464" t="s">
        <v>540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tlmič</v>
      </c>
      <c r="C1823" s="185">
        <f t="shared" si="57"/>
        <v>0</v>
      </c>
      <c r="D1823" s="409" t="s">
        <v>8188</v>
      </c>
      <c r="E1823" s="409" t="s">
        <v>8189</v>
      </c>
      <c r="F1823" s="409" t="s">
        <v>8190</v>
      </c>
      <c r="G1823" s="409" t="s">
        <v>8191</v>
      </c>
      <c r="H1823" s="465">
        <v>0</v>
      </c>
      <c r="I1823" s="465">
        <v>0</v>
      </c>
      <c r="J1823" s="465">
        <v>0</v>
      </c>
      <c r="K1823" s="465">
        <v>0</v>
      </c>
      <c r="L1823" s="464" t="s">
        <v>540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tlmič</v>
      </c>
      <c r="C1824" s="185">
        <f t="shared" si="57"/>
        <v>0</v>
      </c>
      <c r="D1824" s="409" t="s">
        <v>8192</v>
      </c>
      <c r="E1824" s="409" t="s">
        <v>8193</v>
      </c>
      <c r="F1824" s="409" t="s">
        <v>8194</v>
      </c>
      <c r="G1824" s="409" t="s">
        <v>8195</v>
      </c>
      <c r="H1824" s="465">
        <v>0</v>
      </c>
      <c r="I1824" s="465">
        <v>0</v>
      </c>
      <c r="J1824" s="465">
        <v>0</v>
      </c>
      <c r="K1824" s="465">
        <v>0</v>
      </c>
      <c r="L1824" s="464" t="s">
        <v>540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nosnosť 170 kg</v>
      </c>
      <c r="C1825" s="185">
        <f t="shared" si="57"/>
        <v>449.82864000000001</v>
      </c>
      <c r="D1825" s="409" t="s">
        <v>8196</v>
      </c>
      <c r="E1825" s="409" t="s">
        <v>8197</v>
      </c>
      <c r="F1825" s="409" t="s">
        <v>8198</v>
      </c>
      <c r="G1825" s="409" t="s">
        <v>8199</v>
      </c>
      <c r="H1825" s="465">
        <v>12345.41876</v>
      </c>
      <c r="I1825" s="465">
        <v>449.82864000000001</v>
      </c>
      <c r="J1825" s="465">
        <v>1835.9116200000001</v>
      </c>
      <c r="K1825" s="465">
        <v>206866.67556</v>
      </c>
      <c r="L1825" s="464" t="s">
        <v>539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tlmič</v>
      </c>
      <c r="C1826" s="185">
        <f t="shared" si="57"/>
        <v>116.68666</v>
      </c>
      <c r="D1826" s="409" t="s">
        <v>8200</v>
      </c>
      <c r="E1826" s="409" t="s">
        <v>8201</v>
      </c>
      <c r="F1826" s="409" t="s">
        <v>8202</v>
      </c>
      <c r="G1826" s="409" t="s">
        <v>8203</v>
      </c>
      <c r="H1826" s="465">
        <v>3202.4319999999998</v>
      </c>
      <c r="I1826" s="465">
        <v>116.68666</v>
      </c>
      <c r="J1826" s="465">
        <v>476.23998999999998</v>
      </c>
      <c r="K1826" s="465">
        <v>53661.72466</v>
      </c>
      <c r="L1826" s="464" t="s">
        <v>539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spodná krycia lišta Simple/Blue 2m (pre lamino 18mm) biely lesk</v>
      </c>
      <c r="C1827" s="185">
        <f t="shared" si="57"/>
        <v>17.331050000000001</v>
      </c>
      <c r="D1827" s="409" t="s">
        <v>1481</v>
      </c>
      <c r="E1827" s="409" t="s">
        <v>1911</v>
      </c>
      <c r="F1827" s="409" t="s">
        <v>5983</v>
      </c>
      <c r="G1827" s="409" t="s">
        <v>2437</v>
      </c>
      <c r="H1827" s="465">
        <v>476.81455</v>
      </c>
      <c r="I1827" s="465">
        <v>17.331050000000001</v>
      </c>
      <c r="J1827" s="465">
        <v>85.189250000000001</v>
      </c>
      <c r="K1827" s="465">
        <v>7047.3470500000003</v>
      </c>
      <c r="L1827" s="464" t="s">
        <v>538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spodná krycia lišta Simple/Blue 3m (pre lamino 18mm) biely lesk</v>
      </c>
      <c r="C1828" s="185">
        <f t="shared" si="57"/>
        <v>25.970549999999999</v>
      </c>
      <c r="D1828" s="409" t="s">
        <v>1482</v>
      </c>
      <c r="E1828" s="409" t="s">
        <v>1912</v>
      </c>
      <c r="F1828" s="409" t="s">
        <v>5984</v>
      </c>
      <c r="G1828" s="409" t="s">
        <v>2438</v>
      </c>
      <c r="H1828" s="465">
        <v>714.50588000000005</v>
      </c>
      <c r="I1828" s="465">
        <v>25.970549999999999</v>
      </c>
      <c r="J1828" s="465">
        <v>127.83893999999999</v>
      </c>
      <c r="K1828" s="465">
        <v>10560.43881</v>
      </c>
      <c r="L1828" s="464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horná vodiaca lišta Simple/Blue 2m (pre lamino 18mm) biely lesk</v>
      </c>
      <c r="C1829" s="185">
        <f t="shared" si="57"/>
        <v>8.8476800000000004</v>
      </c>
      <c r="D1829" s="409" t="s">
        <v>1483</v>
      </c>
      <c r="E1829" s="409" t="s">
        <v>1913</v>
      </c>
      <c r="F1829" s="409" t="s">
        <v>5985</v>
      </c>
      <c r="G1829" s="409" t="s">
        <v>2439</v>
      </c>
      <c r="H1829" s="465">
        <v>243.41883999999999</v>
      </c>
      <c r="I1829" s="465">
        <v>8.8476800000000004</v>
      </c>
      <c r="J1829" s="465">
        <v>44.207169999999998</v>
      </c>
      <c r="K1829" s="465">
        <v>3597.7446500000001</v>
      </c>
      <c r="L1829" s="464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horná vodiaca lišta Simple/Blue 3m (pre lamino 18mm) biely lesk</v>
      </c>
      <c r="C1830" s="185">
        <f t="shared" si="57"/>
        <v>13.27153</v>
      </c>
      <c r="D1830" s="409" t="s">
        <v>1484</v>
      </c>
      <c r="E1830" s="409" t="s">
        <v>1914</v>
      </c>
      <c r="F1830" s="409" t="s">
        <v>5986</v>
      </c>
      <c r="G1830" s="409" t="s">
        <v>2381</v>
      </c>
      <c r="H1830" s="465">
        <v>365.12824999999998</v>
      </c>
      <c r="I1830" s="465">
        <v>13.27153</v>
      </c>
      <c r="J1830" s="465">
        <v>66.326480000000004</v>
      </c>
      <c r="K1830" s="465">
        <v>5396.6169900000004</v>
      </c>
      <c r="L1830" s="464" t="s">
        <v>538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spojovacia lišta Simple/Blue H21 3m (pre lamino 18mm) biely lesk</v>
      </c>
      <c r="C1831" s="185">
        <f t="shared" si="57"/>
        <v>14.8589</v>
      </c>
      <c r="D1831" s="409" t="s">
        <v>1485</v>
      </c>
      <c r="E1831" s="409" t="s">
        <v>1915</v>
      </c>
      <c r="F1831" s="409" t="s">
        <v>5987</v>
      </c>
      <c r="G1831" s="409" t="s">
        <v>2440</v>
      </c>
      <c r="H1831" s="465">
        <v>408.80045000000001</v>
      </c>
      <c r="I1831" s="465">
        <v>14.8589</v>
      </c>
      <c r="J1831" s="465">
        <v>61.339410000000001</v>
      </c>
      <c r="K1831" s="465">
        <v>6042.0946599999997</v>
      </c>
      <c r="L1831" s="464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spojovacia lišta Simple/Blue H28 3m (pre lamino 18mm) biely lesk</v>
      </c>
      <c r="C1832" s="185">
        <f t="shared" si="57"/>
        <v>25.736350000000002</v>
      </c>
      <c r="D1832" s="409" t="s">
        <v>1486</v>
      </c>
      <c r="E1832" s="409" t="s">
        <v>1916</v>
      </c>
      <c r="F1832" s="409" t="s">
        <v>5988</v>
      </c>
      <c r="G1832" s="409" t="s">
        <v>2441</v>
      </c>
      <c r="H1832" s="465">
        <v>708.06244000000004</v>
      </c>
      <c r="I1832" s="465">
        <v>25.736350000000002</v>
      </c>
      <c r="J1832" s="465">
        <v>93.29128</v>
      </c>
      <c r="K1832" s="465">
        <v>10465.20435</v>
      </c>
      <c r="L1832" s="464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spodné vedenie 2m biela lesk</v>
      </c>
      <c r="C1833" s="185">
        <f t="shared" si="57"/>
        <v>10.487109999999999</v>
      </c>
      <c r="D1833" s="409" t="s">
        <v>1487</v>
      </c>
      <c r="E1833" s="409" t="s">
        <v>1917</v>
      </c>
      <c r="F1833" s="409" t="s">
        <v>5989</v>
      </c>
      <c r="G1833" s="409" t="s">
        <v>2442</v>
      </c>
      <c r="H1833" s="465">
        <v>288.52291000000002</v>
      </c>
      <c r="I1833" s="465">
        <v>10.487109999999999</v>
      </c>
      <c r="J1833" s="465">
        <v>44.993769999999998</v>
      </c>
      <c r="K1833" s="465">
        <v>4264.3854499999998</v>
      </c>
      <c r="L1833" s="464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spodné vedenie 3m biela lesk</v>
      </c>
      <c r="C1834" s="185">
        <f t="shared" si="57"/>
        <v>15.74367</v>
      </c>
      <c r="D1834" s="409" t="s">
        <v>1488</v>
      </c>
      <c r="E1834" s="409" t="s">
        <v>1918</v>
      </c>
      <c r="F1834" s="409" t="s">
        <v>5990</v>
      </c>
      <c r="G1834" s="409" t="s">
        <v>2443</v>
      </c>
      <c r="H1834" s="465">
        <v>433.14235000000002</v>
      </c>
      <c r="I1834" s="465">
        <v>15.74367</v>
      </c>
      <c r="J1834" s="465">
        <v>67.490650000000002</v>
      </c>
      <c r="K1834" s="465">
        <v>6401.8693899999998</v>
      </c>
      <c r="L1834" s="464" t="s">
        <v>539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spodné vedenie 6m biela lesk</v>
      </c>
      <c r="C1835" s="185">
        <f t="shared" si="57"/>
        <v>31.461320000000001</v>
      </c>
      <c r="D1835" s="409" t="s">
        <v>1489</v>
      </c>
      <c r="E1835" s="409" t="s">
        <v>1919</v>
      </c>
      <c r="F1835" s="409" t="s">
        <v>5991</v>
      </c>
      <c r="G1835" s="409" t="s">
        <v>2444</v>
      </c>
      <c r="H1835" s="465">
        <v>865.56874000000005</v>
      </c>
      <c r="I1835" s="465">
        <v>31.461320000000001</v>
      </c>
      <c r="J1835" s="465">
        <v>134.91838000000001</v>
      </c>
      <c r="K1835" s="465">
        <v>12793.156789999999</v>
      </c>
      <c r="L1835" s="464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horné vedenie 2m biela lesk</v>
      </c>
      <c r="C1836" s="185">
        <f t="shared" si="57"/>
        <v>19.621040000000001</v>
      </c>
      <c r="D1836" s="409" t="s">
        <v>1490</v>
      </c>
      <c r="E1836" s="409" t="s">
        <v>1920</v>
      </c>
      <c r="F1836" s="409" t="s">
        <v>5992</v>
      </c>
      <c r="G1836" s="409" t="s">
        <v>2445</v>
      </c>
      <c r="H1836" s="465">
        <v>539.81704999999999</v>
      </c>
      <c r="I1836" s="465">
        <v>19.621040000000001</v>
      </c>
      <c r="J1836" s="465">
        <v>66.342209999999994</v>
      </c>
      <c r="K1836" s="465">
        <v>7978.5276999999996</v>
      </c>
      <c r="L1836" s="464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horné vedenie 3m biela lesk</v>
      </c>
      <c r="C1837" s="185">
        <f t="shared" si="57"/>
        <v>29.431560000000001</v>
      </c>
      <c r="D1837" s="409" t="s">
        <v>1491</v>
      </c>
      <c r="E1837" s="409" t="s">
        <v>1921</v>
      </c>
      <c r="F1837" s="409" t="s">
        <v>5993</v>
      </c>
      <c r="G1837" s="409" t="s">
        <v>2446</v>
      </c>
      <c r="H1837" s="465">
        <v>809.72559000000001</v>
      </c>
      <c r="I1837" s="465">
        <v>29.431560000000001</v>
      </c>
      <c r="J1837" s="465">
        <v>99.55265</v>
      </c>
      <c r="K1837" s="465">
        <v>11967.79175</v>
      </c>
      <c r="L1837" s="464" t="s">
        <v>538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horné vedenie 6m biela lesk</v>
      </c>
      <c r="C1838" s="185">
        <f t="shared" si="57"/>
        <v>58.863120000000002</v>
      </c>
      <c r="D1838" s="409" t="s">
        <v>1492</v>
      </c>
      <c r="E1838" s="409" t="s">
        <v>1922</v>
      </c>
      <c r="F1838" s="409" t="s">
        <v>5994</v>
      </c>
      <c r="G1838" s="409" t="s">
        <v>2447</v>
      </c>
      <c r="H1838" s="465">
        <v>1619.45119</v>
      </c>
      <c r="I1838" s="465">
        <v>58.863120000000002</v>
      </c>
      <c r="J1838" s="465">
        <v>199.01089999999999</v>
      </c>
      <c r="K1838" s="465">
        <v>23935.583500000001</v>
      </c>
      <c r="L1838" s="464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04920-A Lynx úchytová lišta 2,7m strieborná</v>
      </c>
      <c r="C1839" s="185">
        <f t="shared" si="57"/>
        <v>22.561589999999999</v>
      </c>
      <c r="D1839" s="409" t="s">
        <v>1493</v>
      </c>
      <c r="E1839" s="409" t="s">
        <v>1923</v>
      </c>
      <c r="F1839" s="409" t="s">
        <v>5995</v>
      </c>
      <c r="G1839" s="409" t="s">
        <v>5996</v>
      </c>
      <c r="H1839" s="465">
        <v>626.76576</v>
      </c>
      <c r="I1839" s="465">
        <v>22.561589999999999</v>
      </c>
      <c r="J1839" s="465">
        <v>80.671800000000005</v>
      </c>
      <c r="K1839" s="465">
        <v>8981.8486499999999</v>
      </c>
      <c r="L1839" s="464" t="s">
        <v>538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úchytová lišta 2,7m oliva</v>
      </c>
      <c r="C1840" s="185">
        <f t="shared" si="57"/>
        <v>28.182480000000002</v>
      </c>
      <c r="D1840" s="409" t="s">
        <v>1494</v>
      </c>
      <c r="E1840" s="409" t="s">
        <v>1924</v>
      </c>
      <c r="F1840" s="409" t="s">
        <v>1494</v>
      </c>
      <c r="G1840" s="409" t="s">
        <v>2448</v>
      </c>
      <c r="H1840" s="465">
        <v>783.81904999999995</v>
      </c>
      <c r="I1840" s="465">
        <v>28.182480000000002</v>
      </c>
      <c r="J1840" s="465">
        <v>96.912390000000002</v>
      </c>
      <c r="K1840" s="465">
        <v>11232.49632</v>
      </c>
      <c r="L1840" s="464" t="s">
        <v>538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úchytová lišta 18mm 2,7m biela mat</v>
      </c>
      <c r="C1841" s="185">
        <f t="shared" si="57"/>
        <v>16.446280000000002</v>
      </c>
      <c r="D1841" s="409" t="s">
        <v>1495</v>
      </c>
      <c r="E1841" s="409" t="s">
        <v>1925</v>
      </c>
      <c r="F1841" s="409" t="s">
        <v>5997</v>
      </c>
      <c r="G1841" s="409" t="s">
        <v>2449</v>
      </c>
      <c r="H1841" s="465">
        <v>457.40872000000002</v>
      </c>
      <c r="I1841" s="465">
        <v>16.446280000000002</v>
      </c>
      <c r="J1841" s="465">
        <v>66.463200000000001</v>
      </c>
      <c r="K1841" s="465">
        <v>6554.8824199999999</v>
      </c>
      <c r="L1841" s="464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spodné vedenie 1,7m biela mat</v>
      </c>
      <c r="C1842" s="185">
        <f t="shared" si="57"/>
        <v>10.851419999999999</v>
      </c>
      <c r="D1842" s="409" t="s">
        <v>1496</v>
      </c>
      <c r="E1842" s="409" t="s">
        <v>1926</v>
      </c>
      <c r="F1842" s="409" t="s">
        <v>5998</v>
      </c>
      <c r="G1842" s="409" t="s">
        <v>5999</v>
      </c>
      <c r="H1842" s="465">
        <v>301.80291999999997</v>
      </c>
      <c r="I1842" s="465">
        <v>10.851419999999999</v>
      </c>
      <c r="J1842" s="465">
        <v>40.698</v>
      </c>
      <c r="K1842" s="465">
        <v>4324.9779799999997</v>
      </c>
      <c r="L1842" s="464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spodné vedenie 2,35m biely mat</v>
      </c>
      <c r="C1843" s="185">
        <f t="shared" si="57"/>
        <v>14.91095</v>
      </c>
      <c r="D1843" s="409" t="s">
        <v>1497</v>
      </c>
      <c r="E1843" s="409" t="s">
        <v>1927</v>
      </c>
      <c r="F1843" s="409" t="s">
        <v>6000</v>
      </c>
      <c r="G1843" s="409" t="s">
        <v>6001</v>
      </c>
      <c r="H1843" s="465">
        <v>414.70758000000001</v>
      </c>
      <c r="I1843" s="465">
        <v>14.91095</v>
      </c>
      <c r="J1843" s="465">
        <v>56.253</v>
      </c>
      <c r="K1843" s="465">
        <v>5942.9550600000002</v>
      </c>
      <c r="L1843" s="464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spodné vedenie 4,05m biela mat</v>
      </c>
      <c r="C1844" s="185">
        <f t="shared" si="57"/>
        <v>25.658280000000001</v>
      </c>
      <c r="D1844" s="409" t="s">
        <v>1498</v>
      </c>
      <c r="E1844" s="409" t="s">
        <v>1928</v>
      </c>
      <c r="F1844" s="409" t="s">
        <v>6002</v>
      </c>
      <c r="G1844" s="409" t="s">
        <v>6003</v>
      </c>
      <c r="H1844" s="465">
        <v>713.61551999999995</v>
      </c>
      <c r="I1844" s="465">
        <v>25.658280000000001</v>
      </c>
      <c r="J1844" s="465">
        <v>96.930599999999998</v>
      </c>
      <c r="K1844" s="465">
        <v>10226.44657</v>
      </c>
      <c r="L1844" s="464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spodné vedenie 6m biela mat</v>
      </c>
      <c r="C1845" s="185">
        <f t="shared" si="57"/>
        <v>37.914929999999998</v>
      </c>
      <c r="D1845" s="409" t="s">
        <v>1499</v>
      </c>
      <c r="E1845" s="409" t="s">
        <v>1929</v>
      </c>
      <c r="F1845" s="409" t="s">
        <v>6004</v>
      </c>
      <c r="G1845" s="409" t="s">
        <v>2450</v>
      </c>
      <c r="H1845" s="465">
        <v>1054.50082</v>
      </c>
      <c r="I1845" s="465">
        <v>37.914929999999998</v>
      </c>
      <c r="J1845" s="465">
        <v>143.60579999999999</v>
      </c>
      <c r="K1845" s="465">
        <v>15111.493469999999</v>
      </c>
      <c r="L1845" s="464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9" t="e">
        <v>#N/A</v>
      </c>
      <c r="E1846" s="409" t="e">
        <v>#N/A</v>
      </c>
      <c r="F1846" s="409" t="e">
        <v>#N/A</v>
      </c>
      <c r="G1846" s="409" t="e">
        <v>#N/A</v>
      </c>
      <c r="H1846" s="465" t="e">
        <v>#N/A</v>
      </c>
      <c r="I1846" s="465" t="e">
        <v>#N/A</v>
      </c>
      <c r="J1846" s="465" t="e">
        <v>#N/A</v>
      </c>
      <c r="K1846" s="465" t="e">
        <v>#N/A</v>
      </c>
      <c r="L1846" s="464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9" t="e">
        <v>#N/A</v>
      </c>
      <c r="E1847" s="409" t="e">
        <v>#N/A</v>
      </c>
      <c r="F1847" s="409" t="e">
        <v>#N/A</v>
      </c>
      <c r="G1847" s="409" t="e">
        <v>#N/A</v>
      </c>
      <c r="H1847" s="465" t="e">
        <v>#N/A</v>
      </c>
      <c r="I1847" s="465" t="e">
        <v>#N/A</v>
      </c>
      <c r="J1847" s="465" t="e">
        <v>#N/A</v>
      </c>
      <c r="K1847" s="465" t="e">
        <v>#N/A</v>
      </c>
      <c r="L1847" s="464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9" t="e">
        <v>#N/A</v>
      </c>
      <c r="E1848" s="409" t="e">
        <v>#N/A</v>
      </c>
      <c r="F1848" s="409" t="e">
        <v>#N/A</v>
      </c>
      <c r="G1848" s="409" t="e">
        <v>#N/A</v>
      </c>
      <c r="H1848" s="465" t="e">
        <v>#N/A</v>
      </c>
      <c r="I1848" s="465" t="e">
        <v>#N/A</v>
      </c>
      <c r="J1848" s="465" t="e">
        <v>#N/A</v>
      </c>
      <c r="K1848" s="465" t="e">
        <v>#N/A</v>
      </c>
      <c r="L1848" s="464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9" t="e">
        <v>#N/A</v>
      </c>
      <c r="E1849" s="409" t="e">
        <v>#N/A</v>
      </c>
      <c r="F1849" s="409" t="e">
        <v>#N/A</v>
      </c>
      <c r="G1849" s="409" t="e">
        <v>#N/A</v>
      </c>
      <c r="H1849" s="465" t="e">
        <v>#N/A</v>
      </c>
      <c r="I1849" s="465" t="e">
        <v>#N/A</v>
      </c>
      <c r="J1849" s="465" t="e">
        <v>#N/A</v>
      </c>
      <c r="K1849" s="465" t="e">
        <v>#N/A</v>
      </c>
      <c r="L1849" s="464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9" t="e">
        <v>#N/A</v>
      </c>
      <c r="E1850" s="409" t="e">
        <v>#N/A</v>
      </c>
      <c r="F1850" s="409" t="e">
        <v>#N/A</v>
      </c>
      <c r="G1850" s="409" t="e">
        <v>#N/A</v>
      </c>
      <c r="H1850" s="465" t="e">
        <v>#N/A</v>
      </c>
      <c r="I1850" s="465" t="e">
        <v>#N/A</v>
      </c>
      <c r="J1850" s="465" t="e">
        <v>#N/A</v>
      </c>
      <c r="K1850" s="465" t="e">
        <v>#N/A</v>
      </c>
      <c r="L1850" s="464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 - S80 - brzda</v>
      </c>
      <c r="C1851" s="185">
        <f t="shared" si="57"/>
        <v>1.9623900000000001</v>
      </c>
      <c r="D1851" s="409" t="s">
        <v>8204</v>
      </c>
      <c r="E1851" s="409" t="s">
        <v>8205</v>
      </c>
      <c r="F1851" s="409" t="s">
        <v>8206</v>
      </c>
      <c r="G1851" s="409" t="s">
        <v>8207</v>
      </c>
      <c r="H1851" s="465">
        <v>48.048000000000002</v>
      </c>
      <c r="I1851" s="465">
        <v>1.9623900000000001</v>
      </c>
      <c r="J1851" s="465">
        <v>8.8864199999999993</v>
      </c>
      <c r="K1851" s="465">
        <v>833.09032000000002</v>
      </c>
      <c r="L1851" s="464" t="s">
        <v>537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vodítko</v>
      </c>
      <c r="C1852" s="185">
        <f t="shared" si="57"/>
        <v>0.35679</v>
      </c>
      <c r="D1852" s="409" t="s">
        <v>8208</v>
      </c>
      <c r="E1852" s="409" t="s">
        <v>8209</v>
      </c>
      <c r="F1852" s="409" t="s">
        <v>8208</v>
      </c>
      <c r="G1852" s="409" t="s">
        <v>8210</v>
      </c>
      <c r="H1852" s="465">
        <v>8.7360000000000007</v>
      </c>
      <c r="I1852" s="465">
        <v>0.35679</v>
      </c>
      <c r="J1852" s="465">
        <v>1.61571</v>
      </c>
      <c r="K1852" s="465">
        <v>151.47095999999999</v>
      </c>
      <c r="L1852" s="464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str">
        <f t="shared" si="56"/>
        <v>MSE-imbusový klúc SEVROLL</v>
      </c>
      <c r="C1853" s="185" t="e">
        <f t="shared" si="57"/>
        <v>#N/A</v>
      </c>
      <c r="D1853" s="409" t="s">
        <v>1500</v>
      </c>
      <c r="E1853" s="409" t="s">
        <v>1930</v>
      </c>
      <c r="F1853" s="409" t="s">
        <v>2179</v>
      </c>
      <c r="G1853" s="409" t="s">
        <v>2451</v>
      </c>
      <c r="H1853" s="465" t="e">
        <v>#N/A</v>
      </c>
      <c r="I1853" s="465" t="e">
        <v>#N/A</v>
      </c>
      <c r="J1853" s="465" t="e">
        <v>#N/A</v>
      </c>
      <c r="K1853" s="465" t="e">
        <v>#N/A</v>
      </c>
      <c r="L1853" s="464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šablóna pre vozíky pre lamino 18mm</v>
      </c>
      <c r="C1854" s="185">
        <f t="shared" si="57"/>
        <v>4.6192500000000001</v>
      </c>
      <c r="D1854" s="409" t="s">
        <v>1501</v>
      </c>
      <c r="E1854" s="409" t="s">
        <v>1931</v>
      </c>
      <c r="F1854" s="409" t="s">
        <v>6005</v>
      </c>
      <c r="G1854" s="409" t="s">
        <v>6006</v>
      </c>
      <c r="H1854" s="465">
        <v>115.8982</v>
      </c>
      <c r="I1854" s="465">
        <v>4.6192500000000001</v>
      </c>
      <c r="J1854" s="465">
        <v>20.175750000000001</v>
      </c>
      <c r="K1854" s="465">
        <v>1881.7835700000001</v>
      </c>
      <c r="L1854" s="464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/>
      </c>
      <c r="C1855" s="185">
        <f t="shared" si="57"/>
        <v>0</v>
      </c>
      <c r="D1855" s="409" t="s">
        <v>1502</v>
      </c>
      <c r="E1855" s="409" t="s">
        <v>68</v>
      </c>
      <c r="F1855" s="409" t="s">
        <v>68</v>
      </c>
      <c r="G1855" s="409" t="s">
        <v>68</v>
      </c>
      <c r="H1855" s="465">
        <v>0</v>
      </c>
      <c r="I1855" s="465">
        <v>0</v>
      </c>
      <c r="J1855" s="465">
        <v>0</v>
      </c>
      <c r="K1855" s="465">
        <v>0</v>
      </c>
      <c r="L1855" s="464" t="s">
        <v>540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/>
      </c>
      <c r="C1856" s="185">
        <f t="shared" si="57"/>
        <v>0</v>
      </c>
      <c r="D1856" s="409" t="s">
        <v>1503</v>
      </c>
      <c r="E1856" s="409" t="s">
        <v>68</v>
      </c>
      <c r="F1856" s="409" t="s">
        <v>68</v>
      </c>
      <c r="G1856" s="409" t="s">
        <v>68</v>
      </c>
      <c r="H1856" s="465">
        <v>0</v>
      </c>
      <c r="I1856" s="465">
        <v>0</v>
      </c>
      <c r="J1856" s="465">
        <v>0</v>
      </c>
      <c r="K1856" s="465">
        <v>0</v>
      </c>
      <c r="L1856" s="464" t="s">
        <v>540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9" t="e">
        <v>#N/A</v>
      </c>
      <c r="E1857" s="409" t="e">
        <v>#N/A</v>
      </c>
      <c r="F1857" s="409" t="e">
        <v>#N/A</v>
      </c>
      <c r="G1857" s="409" t="e">
        <v>#N/A</v>
      </c>
      <c r="H1857" s="465" t="e">
        <v>#N/A</v>
      </c>
      <c r="I1857" s="465" t="e">
        <v>#N/A</v>
      </c>
      <c r="J1857" s="465" t="e">
        <v>#N/A</v>
      </c>
      <c r="K1857" s="465" t="e">
        <v>#N/A</v>
      </c>
      <c r="L1857" s="464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str">
        <f t="shared" si="56"/>
        <v/>
      </c>
      <c r="C1858" s="185" t="e">
        <f t="shared" si="57"/>
        <v>#N/A</v>
      </c>
      <c r="D1858" s="409" t="s">
        <v>1504</v>
      </c>
      <c r="E1858" s="409" t="s">
        <v>68</v>
      </c>
      <c r="F1858" s="409" t="s">
        <v>68</v>
      </c>
      <c r="G1858" s="409" t="s">
        <v>68</v>
      </c>
      <c r="H1858" s="465" t="e">
        <v>#N/A</v>
      </c>
      <c r="I1858" s="465" t="e">
        <v>#N/A</v>
      </c>
      <c r="J1858" s="465" t="e">
        <v>#N/A</v>
      </c>
      <c r="K1858" s="465" t="e">
        <v>#N/A</v>
      </c>
      <c r="L1858" s="464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9" t="e">
        <v>#N/A</v>
      </c>
      <c r="E1859" s="409" t="e">
        <v>#N/A</v>
      </c>
      <c r="F1859" s="409" t="e">
        <v>#N/A</v>
      </c>
      <c r="G1859" s="409" t="e">
        <v>#N/A</v>
      </c>
      <c r="H1859" s="465" t="e">
        <v>#N/A</v>
      </c>
      <c r="I1859" s="465" t="e">
        <v>#N/A</v>
      </c>
      <c r="J1859" s="465" t="e">
        <v>#N/A</v>
      </c>
      <c r="K1859" s="465" t="e">
        <v>#N/A</v>
      </c>
      <c r="L1859" s="464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úchytová lišta 2,7m čierna mat</v>
      </c>
      <c r="C1860" s="185">
        <f t="shared" ref="C1860:C1923" si="59">IF($A$2=1,H1860,IF($A$2=2,I1860,IF($A$2=3,J1860,IF($A$2=4,K1860,IF($A$2&gt;4,O1860,"zadat jazyk")))))</f>
        <v>21.598759999999999</v>
      </c>
      <c r="D1860" s="409" t="s">
        <v>1505</v>
      </c>
      <c r="E1860" s="409" t="s">
        <v>1932</v>
      </c>
      <c r="F1860" s="409" t="s">
        <v>6007</v>
      </c>
      <c r="G1860" s="409" t="s">
        <v>2452</v>
      </c>
      <c r="H1860" s="465">
        <v>600.71082000000001</v>
      </c>
      <c r="I1860" s="465">
        <v>21.598759999999999</v>
      </c>
      <c r="J1860" s="465">
        <v>80.416799999999995</v>
      </c>
      <c r="K1860" s="465">
        <v>8608.4691000000003</v>
      </c>
      <c r="L1860" s="464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9" t="e">
        <v>#N/A</v>
      </c>
      <c r="E1861" s="409" t="e">
        <v>#N/A</v>
      </c>
      <c r="F1861" s="409" t="e">
        <v>#N/A</v>
      </c>
      <c r="G1861" s="409" t="e">
        <v>#N/A</v>
      </c>
      <c r="H1861" s="465" t="e">
        <v>#N/A</v>
      </c>
      <c r="I1861" s="465" t="e">
        <v>#N/A</v>
      </c>
      <c r="J1861" s="465" t="e">
        <v>#N/A</v>
      </c>
      <c r="K1861" s="465" t="e">
        <v>#N/A</v>
      </c>
      <c r="L1861" s="464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9" t="e">
        <v>#N/A</v>
      </c>
      <c r="E1862" s="409" t="e">
        <v>#N/A</v>
      </c>
      <c r="F1862" s="409" t="e">
        <v>#N/A</v>
      </c>
      <c r="G1862" s="409" t="e">
        <v>#N/A</v>
      </c>
      <c r="H1862" s="465" t="e">
        <v>#N/A</v>
      </c>
      <c r="I1862" s="465" t="e">
        <v>#N/A</v>
      </c>
      <c r="J1862" s="465" t="e">
        <v>#N/A</v>
      </c>
      <c r="K1862" s="465" t="e">
        <v>#N/A</v>
      </c>
      <c r="L1862" s="464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sada kovania pre dvojo dverí</v>
      </c>
      <c r="C1863" s="185">
        <f t="shared" si="59"/>
        <v>46.866700000000002</v>
      </c>
      <c r="D1863" s="409" t="s">
        <v>1506</v>
      </c>
      <c r="E1863" s="409" t="s">
        <v>1934</v>
      </c>
      <c r="F1863" s="409" t="s">
        <v>6008</v>
      </c>
      <c r="G1863" s="409" t="s">
        <v>2358</v>
      </c>
      <c r="H1863" s="465">
        <v>1303.47011</v>
      </c>
      <c r="I1863" s="465">
        <v>46.866700000000002</v>
      </c>
      <c r="J1863" s="465">
        <v>161.16269</v>
      </c>
      <c r="K1863" s="465">
        <v>18679.34074</v>
      </c>
      <c r="L1863" s="464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sada kovania pre vnútorné dvere</v>
      </c>
      <c r="C1864" s="185">
        <f t="shared" si="59"/>
        <v>23.16011</v>
      </c>
      <c r="D1864" s="409" t="s">
        <v>1507</v>
      </c>
      <c r="E1864" s="409" t="s">
        <v>1935</v>
      </c>
      <c r="F1864" s="409" t="s">
        <v>6009</v>
      </c>
      <c r="G1864" s="409" t="s">
        <v>2454</v>
      </c>
      <c r="H1864" s="465">
        <v>644.13570000000004</v>
      </c>
      <c r="I1864" s="465">
        <v>23.16011</v>
      </c>
      <c r="J1864" s="465">
        <v>79.641750000000002</v>
      </c>
      <c r="K1864" s="465">
        <v>9230.7680799999998</v>
      </c>
      <c r="L1864" s="464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horné vedenie  1,7m strieborná</v>
      </c>
      <c r="C1865" s="185">
        <f t="shared" si="59"/>
        <v>8.1450700000000005</v>
      </c>
      <c r="D1865" s="409" t="s">
        <v>1508</v>
      </c>
      <c r="E1865" s="409" t="s">
        <v>1936</v>
      </c>
      <c r="F1865" s="409" t="s">
        <v>6010</v>
      </c>
      <c r="G1865" s="409" t="s">
        <v>2455</v>
      </c>
      <c r="H1865" s="465">
        <v>226.53310999999999</v>
      </c>
      <c r="I1865" s="465">
        <v>8.1450700000000005</v>
      </c>
      <c r="J1865" s="465">
        <v>28.008849999999999</v>
      </c>
      <c r="K1865" s="465">
        <v>3246.3261900000002</v>
      </c>
      <c r="L1865" s="464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horné vedenie 1,7m biela lesk</v>
      </c>
      <c r="C1866" s="185">
        <f t="shared" si="59"/>
        <v>10.591200000000001</v>
      </c>
      <c r="D1866" s="409" t="s">
        <v>1509</v>
      </c>
      <c r="E1866" s="409" t="s">
        <v>1937</v>
      </c>
      <c r="F1866" s="409" t="s">
        <v>6011</v>
      </c>
      <c r="G1866" s="409" t="s">
        <v>2456</v>
      </c>
      <c r="H1866" s="465">
        <v>294.56544000000002</v>
      </c>
      <c r="I1866" s="465">
        <v>10.591200000000001</v>
      </c>
      <c r="J1866" s="465">
        <v>36.420439999999999</v>
      </c>
      <c r="K1866" s="465">
        <v>4221.2614700000004</v>
      </c>
      <c r="L1866" s="464" t="s">
        <v>539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horné vedenie  2,35m strieborná</v>
      </c>
      <c r="C1867" s="185">
        <f t="shared" si="59"/>
        <v>11.241759999999999</v>
      </c>
      <c r="D1867" s="409" t="s">
        <v>1510</v>
      </c>
      <c r="E1867" s="409" t="s">
        <v>1938</v>
      </c>
      <c r="F1867" s="409" t="s">
        <v>6012</v>
      </c>
      <c r="G1867" s="409" t="s">
        <v>2357</v>
      </c>
      <c r="H1867" s="465">
        <v>312.65911999999997</v>
      </c>
      <c r="I1867" s="465">
        <v>11.241759999999999</v>
      </c>
      <c r="J1867" s="465">
        <v>38.65757</v>
      </c>
      <c r="K1867" s="465">
        <v>4480.5525100000004</v>
      </c>
      <c r="L1867" s="464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horné vedenie 2,35 m biela lesk</v>
      </c>
      <c r="C1868" s="185">
        <f t="shared" si="59"/>
        <v>14.624700000000001</v>
      </c>
      <c r="D1868" s="409" t="s">
        <v>1511</v>
      </c>
      <c r="E1868" s="409" t="s">
        <v>1939</v>
      </c>
      <c r="F1868" s="409" t="s">
        <v>6013</v>
      </c>
      <c r="G1868" s="409" t="s">
        <v>2457</v>
      </c>
      <c r="H1868" s="465">
        <v>406.74635999999998</v>
      </c>
      <c r="I1868" s="465">
        <v>14.624700000000001</v>
      </c>
      <c r="J1868" s="465">
        <v>50.290640000000003</v>
      </c>
      <c r="K1868" s="465">
        <v>5828.8669499999996</v>
      </c>
      <c r="L1868" s="464" t="s">
        <v>539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horné vedenie  3m strieborná</v>
      </c>
      <c r="C1869" s="185">
        <f t="shared" si="59"/>
        <v>14.36448</v>
      </c>
      <c r="D1869" s="409" t="s">
        <v>1512</v>
      </c>
      <c r="E1869" s="409" t="s">
        <v>1940</v>
      </c>
      <c r="F1869" s="409" t="s">
        <v>6014</v>
      </c>
      <c r="G1869" s="409" t="s">
        <v>2458</v>
      </c>
      <c r="H1869" s="465">
        <v>399.50887999999998</v>
      </c>
      <c r="I1869" s="465">
        <v>14.36448</v>
      </c>
      <c r="J1869" s="465">
        <v>49.395780000000002</v>
      </c>
      <c r="K1869" s="465">
        <v>5725.1504599999998</v>
      </c>
      <c r="L1869" s="464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horné vedenie 3m biela lesk</v>
      </c>
      <c r="C1870" s="185">
        <f t="shared" si="59"/>
        <v>18.684229999999999</v>
      </c>
      <c r="D1870" s="409" t="s">
        <v>1513</v>
      </c>
      <c r="E1870" s="409" t="s">
        <v>1941</v>
      </c>
      <c r="F1870" s="409" t="s">
        <v>6015</v>
      </c>
      <c r="G1870" s="409" t="s">
        <v>2459</v>
      </c>
      <c r="H1870" s="465">
        <v>519.65106000000003</v>
      </c>
      <c r="I1870" s="465">
        <v>18.684229999999999</v>
      </c>
      <c r="J1870" s="465">
        <v>64.250320000000002</v>
      </c>
      <c r="K1870" s="465">
        <v>7446.8444200000004</v>
      </c>
      <c r="L1870" s="464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horné vedenie 6m strieborná</v>
      </c>
      <c r="C1871" s="185">
        <f t="shared" si="59"/>
        <v>28.728950000000001</v>
      </c>
      <c r="D1871" s="409" t="s">
        <v>1514</v>
      </c>
      <c r="E1871" s="409" t="s">
        <v>1942</v>
      </c>
      <c r="F1871" s="409" t="s">
        <v>6016</v>
      </c>
      <c r="G1871" s="409" t="s">
        <v>2460</v>
      </c>
      <c r="H1871" s="465">
        <v>799.01775999999995</v>
      </c>
      <c r="I1871" s="465">
        <v>28.728950000000001</v>
      </c>
      <c r="J1871" s="465">
        <v>98.791579999999996</v>
      </c>
      <c r="K1871" s="465">
        <v>11450.30092</v>
      </c>
      <c r="L1871" s="464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horné vedenie 6m biela lesk</v>
      </c>
      <c r="C1872" s="185">
        <f t="shared" si="59"/>
        <v>37.34243</v>
      </c>
      <c r="D1872" s="409" t="s">
        <v>1515</v>
      </c>
      <c r="E1872" s="409" t="s">
        <v>1943</v>
      </c>
      <c r="F1872" s="409" t="s">
        <v>6017</v>
      </c>
      <c r="G1872" s="409" t="s">
        <v>2461</v>
      </c>
      <c r="H1872" s="465">
        <v>1038.5783699999999</v>
      </c>
      <c r="I1872" s="465">
        <v>37.34243</v>
      </c>
      <c r="J1872" s="465">
        <v>128.41116</v>
      </c>
      <c r="K1872" s="465">
        <v>14883.31726</v>
      </c>
      <c r="L1872" s="464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horizontálna lišta 1,7m strieborná</v>
      </c>
      <c r="C1873" s="185">
        <f t="shared" si="59"/>
        <v>22.01512</v>
      </c>
      <c r="D1873" s="409" t="s">
        <v>1516</v>
      </c>
      <c r="E1873" s="409" t="s">
        <v>1944</v>
      </c>
      <c r="F1873" s="409" t="s">
        <v>6018</v>
      </c>
      <c r="G1873" s="409" t="s">
        <v>2462</v>
      </c>
      <c r="H1873" s="465">
        <v>612.29079999999999</v>
      </c>
      <c r="I1873" s="465">
        <v>22.01512</v>
      </c>
      <c r="J1873" s="465">
        <v>75.704419999999999</v>
      </c>
      <c r="K1873" s="465">
        <v>8774.4156500000008</v>
      </c>
      <c r="L1873" s="464" t="s">
        <v>539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horizontálna lišta 1,7m strieborná</v>
      </c>
      <c r="C1874" s="185">
        <f t="shared" si="59"/>
        <v>24.513290000000001</v>
      </c>
      <c r="D1874" s="409" t="s">
        <v>1517</v>
      </c>
      <c r="E1874" s="409" t="s">
        <v>1945</v>
      </c>
      <c r="F1874" s="409" t="s">
        <v>6019</v>
      </c>
      <c r="G1874" s="409" t="s">
        <v>2463</v>
      </c>
      <c r="H1874" s="465">
        <v>681.77058999999997</v>
      </c>
      <c r="I1874" s="465">
        <v>24.513290000000001</v>
      </c>
      <c r="J1874" s="465">
        <v>84.294979999999995</v>
      </c>
      <c r="K1874" s="465">
        <v>9770.0937699999995</v>
      </c>
      <c r="L1874" s="464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horizontálna lišta 1,7m biela lesk</v>
      </c>
      <c r="C1875" s="185">
        <f t="shared" si="59"/>
        <v>31.877690000000001</v>
      </c>
      <c r="D1875" s="409" t="s">
        <v>1518</v>
      </c>
      <c r="E1875" s="409" t="s">
        <v>1946</v>
      </c>
      <c r="F1875" s="409" t="s">
        <v>6020</v>
      </c>
      <c r="G1875" s="409" t="s">
        <v>2464</v>
      </c>
      <c r="H1875" s="465">
        <v>886.59128999999996</v>
      </c>
      <c r="I1875" s="465">
        <v>31.877690000000001</v>
      </c>
      <c r="J1875" s="465">
        <v>109.61927</v>
      </c>
      <c r="K1875" s="465">
        <v>12705.27087</v>
      </c>
      <c r="L1875" s="464" t="s">
        <v>539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horizontálna lišta 1,7m biela lesk</v>
      </c>
      <c r="C1876" s="185">
        <f t="shared" si="59"/>
        <v>28.624860000000002</v>
      </c>
      <c r="D1876" s="409" t="s">
        <v>1519</v>
      </c>
      <c r="E1876" s="409" t="s">
        <v>1947</v>
      </c>
      <c r="F1876" s="409" t="s">
        <v>6021</v>
      </c>
      <c r="G1876" s="409" t="s">
        <v>2465</v>
      </c>
      <c r="H1876" s="465">
        <v>796.12278000000003</v>
      </c>
      <c r="I1876" s="465">
        <v>28.624860000000002</v>
      </c>
      <c r="J1876" s="465">
        <v>98.433639999999997</v>
      </c>
      <c r="K1876" s="465">
        <v>11408.814479999999</v>
      </c>
      <c r="L1876" s="464" t="s">
        <v>539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horizontálna lišta 2,35 m biela lesk</v>
      </c>
      <c r="C1877" s="185">
        <f t="shared" si="59"/>
        <v>39.554349999999999</v>
      </c>
      <c r="D1877" s="409" t="s">
        <v>1520</v>
      </c>
      <c r="E1877" s="409" t="s">
        <v>1948</v>
      </c>
      <c r="F1877" s="409" t="s">
        <v>6022</v>
      </c>
      <c r="G1877" s="409" t="s">
        <v>2466</v>
      </c>
      <c r="H1877" s="465">
        <v>1100.0969299999999</v>
      </c>
      <c r="I1877" s="465">
        <v>39.554349999999999</v>
      </c>
      <c r="J1877" s="465">
        <v>136.01739000000001</v>
      </c>
      <c r="K1877" s="465">
        <v>15764.90727</v>
      </c>
      <c r="L1877" s="464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horizontálna lišta 2,35 m biela lesk</v>
      </c>
      <c r="C1878" s="185">
        <f t="shared" si="59"/>
        <v>44.056260000000002</v>
      </c>
      <c r="D1878" s="409" t="s">
        <v>1521</v>
      </c>
      <c r="E1878" s="409" t="s">
        <v>1949</v>
      </c>
      <c r="F1878" s="409" t="s">
        <v>6023</v>
      </c>
      <c r="G1878" s="409" t="s">
        <v>2467</v>
      </c>
      <c r="H1878" s="465">
        <v>1225.3053199999999</v>
      </c>
      <c r="I1878" s="465">
        <v>44.056260000000002</v>
      </c>
      <c r="J1878" s="465">
        <v>151.49831</v>
      </c>
      <c r="K1878" s="465">
        <v>17559.202509999999</v>
      </c>
      <c r="L1878" s="464" t="s">
        <v>539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horizontálna lišta 2,35m strieborná</v>
      </c>
      <c r="C1879" s="185">
        <f t="shared" si="59"/>
        <v>33.881430000000002</v>
      </c>
      <c r="D1879" s="409" t="s">
        <v>1522</v>
      </c>
      <c r="E1879" s="409" t="s">
        <v>1950</v>
      </c>
      <c r="F1879" s="409" t="s">
        <v>6024</v>
      </c>
      <c r="G1879" s="409" t="s">
        <v>2468</v>
      </c>
      <c r="H1879" s="465">
        <v>942.31985999999995</v>
      </c>
      <c r="I1879" s="465">
        <v>33.881430000000002</v>
      </c>
      <c r="J1879" s="465">
        <v>116.50963</v>
      </c>
      <c r="K1879" s="465">
        <v>13503.8876</v>
      </c>
      <c r="L1879" s="464" t="s">
        <v>539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horizontálna lišta 2,35m strieborná</v>
      </c>
      <c r="C1880" s="185">
        <f t="shared" si="59"/>
        <v>30.42042</v>
      </c>
      <c r="D1880" s="409" t="s">
        <v>1523</v>
      </c>
      <c r="E1880" s="409" t="s">
        <v>1951</v>
      </c>
      <c r="F1880" s="409" t="s">
        <v>6025</v>
      </c>
      <c r="G1880" s="409" t="s">
        <v>2469</v>
      </c>
      <c r="H1880" s="465">
        <v>846.06138999999996</v>
      </c>
      <c r="I1880" s="465">
        <v>30.42042</v>
      </c>
      <c r="J1880" s="465">
        <v>104.60811</v>
      </c>
      <c r="K1880" s="465">
        <v>12124.45832</v>
      </c>
      <c r="L1880" s="464" t="s">
        <v>539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horizontálna lišta 3m strieborná</v>
      </c>
      <c r="C1881" s="185">
        <f t="shared" si="59"/>
        <v>38.825719999999997</v>
      </c>
      <c r="D1881" s="409" t="s">
        <v>1524</v>
      </c>
      <c r="E1881" s="409" t="s">
        <v>1952</v>
      </c>
      <c r="F1881" s="409" t="s">
        <v>6026</v>
      </c>
      <c r="G1881" s="409" t="s">
        <v>2470</v>
      </c>
      <c r="H1881" s="465">
        <v>1079.8319799999999</v>
      </c>
      <c r="I1881" s="465">
        <v>38.825719999999997</v>
      </c>
      <c r="J1881" s="465">
        <v>133.51179999999999</v>
      </c>
      <c r="K1881" s="465">
        <v>15474.501</v>
      </c>
      <c r="L1881" s="464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horizontálna lišta 3m strieborná</v>
      </c>
      <c r="C1882" s="185">
        <f t="shared" si="59"/>
        <v>43.249560000000002</v>
      </c>
      <c r="D1882" s="409" t="s">
        <v>1525</v>
      </c>
      <c r="E1882" s="409" t="s">
        <v>1953</v>
      </c>
      <c r="F1882" s="409" t="s">
        <v>6027</v>
      </c>
      <c r="G1882" s="409" t="s">
        <v>2471</v>
      </c>
      <c r="H1882" s="465">
        <v>1202.86914</v>
      </c>
      <c r="I1882" s="465">
        <v>43.249560000000002</v>
      </c>
      <c r="J1882" s="465">
        <v>148.72426999999999</v>
      </c>
      <c r="K1882" s="465">
        <v>17237.681420000001</v>
      </c>
      <c r="L1882" s="464" t="s">
        <v>539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horizontálna lišta 3m biela lesk</v>
      </c>
      <c r="C1883" s="185">
        <f t="shared" si="59"/>
        <v>56.234839999999998</v>
      </c>
      <c r="D1883" s="409" t="s">
        <v>1526</v>
      </c>
      <c r="E1883" s="409" t="s">
        <v>1954</v>
      </c>
      <c r="F1883" s="409" t="s">
        <v>6028</v>
      </c>
      <c r="G1883" s="409" t="s">
        <v>2472</v>
      </c>
      <c r="H1883" s="465">
        <v>1564.01938</v>
      </c>
      <c r="I1883" s="465">
        <v>56.234839999999998</v>
      </c>
      <c r="J1883" s="465">
        <v>193.37735000000001</v>
      </c>
      <c r="K1883" s="465">
        <v>22413.134569999998</v>
      </c>
      <c r="L1883" s="464" t="s">
        <v>539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horizontálna lišta 3m biela lesk</v>
      </c>
      <c r="C1884" s="185">
        <f t="shared" si="59"/>
        <v>50.483840000000001</v>
      </c>
      <c r="D1884" s="409" t="s">
        <v>3348</v>
      </c>
      <c r="E1884" s="409" t="s">
        <v>1955</v>
      </c>
      <c r="F1884" s="409" t="s">
        <v>6029</v>
      </c>
      <c r="G1884" s="409" t="s">
        <v>2473</v>
      </c>
      <c r="H1884" s="465">
        <v>1404.0710799999999</v>
      </c>
      <c r="I1884" s="465">
        <v>50.483840000000001</v>
      </c>
      <c r="J1884" s="465">
        <v>173.60113999999999</v>
      </c>
      <c r="K1884" s="465">
        <v>20121.000059999998</v>
      </c>
      <c r="L1884" s="464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horná krytka 1,1m strieborná</v>
      </c>
      <c r="C1885" s="185">
        <f t="shared" si="59"/>
        <v>3.7472500000000002</v>
      </c>
      <c r="D1885" s="409" t="s">
        <v>3349</v>
      </c>
      <c r="E1885" s="409" t="s">
        <v>1956</v>
      </c>
      <c r="F1885" s="409" t="s">
        <v>6030</v>
      </c>
      <c r="G1885" s="409" t="s">
        <v>6031</v>
      </c>
      <c r="H1885" s="465">
        <v>104.2197</v>
      </c>
      <c r="I1885" s="465">
        <v>3.7472500000000002</v>
      </c>
      <c r="J1885" s="465">
        <v>12.885859999999999</v>
      </c>
      <c r="K1885" s="465">
        <v>1493.5173600000001</v>
      </c>
      <c r="L1885" s="464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9" t="e">
        <v>#N/A</v>
      </c>
      <c r="E1886" s="409" t="e">
        <v>#N/A</v>
      </c>
      <c r="F1886" s="409" t="e">
        <v>#N/A</v>
      </c>
      <c r="G1886" s="409" t="e">
        <v>#N/A</v>
      </c>
      <c r="H1886" s="465" t="e">
        <v>#N/A</v>
      </c>
      <c r="I1886" s="465" t="e">
        <v>#N/A</v>
      </c>
      <c r="J1886" s="465" t="e">
        <v>#N/A</v>
      </c>
      <c r="K1886" s="465" t="e">
        <v>#N/A</v>
      </c>
      <c r="L1886" s="464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okrasná lišta S10 3m strieborná</v>
      </c>
      <c r="C1887" s="185">
        <f t="shared" si="59"/>
        <v>3.1450499999999999</v>
      </c>
      <c r="D1887" s="409" t="s">
        <v>1527</v>
      </c>
      <c r="E1887" s="409" t="s">
        <v>1957</v>
      </c>
      <c r="F1887" s="409" t="s">
        <v>2180</v>
      </c>
      <c r="G1887" s="409" t="s">
        <v>2474</v>
      </c>
      <c r="H1887" s="465">
        <v>0</v>
      </c>
      <c r="I1887" s="465">
        <v>3.1450499999999999</v>
      </c>
      <c r="J1887" s="465">
        <v>0</v>
      </c>
      <c r="K1887" s="465">
        <v>0</v>
      </c>
      <c r="L1887" s="464" t="s">
        <v>540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okrasná lišta S20 3m strieborná</v>
      </c>
      <c r="C1888" s="185">
        <f t="shared" si="59"/>
        <v>5.6752799999999999</v>
      </c>
      <c r="D1888" s="409" t="s">
        <v>1528</v>
      </c>
      <c r="E1888" s="409" t="s">
        <v>1958</v>
      </c>
      <c r="F1888" s="409" t="s">
        <v>2181</v>
      </c>
      <c r="G1888" s="409" t="s">
        <v>2475</v>
      </c>
      <c r="H1888" s="465">
        <v>0</v>
      </c>
      <c r="I1888" s="465">
        <v>5.6752799999999999</v>
      </c>
      <c r="J1888" s="465">
        <v>0</v>
      </c>
      <c r="K1888" s="465">
        <v>0</v>
      </c>
      <c r="L1888" s="464" t="s">
        <v>540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88.858940000000004</v>
      </c>
      <c r="D1889" s="409" t="s">
        <v>8211</v>
      </c>
      <c r="E1889" s="409" t="s">
        <v>8211</v>
      </c>
      <c r="F1889" s="409" t="s">
        <v>8211</v>
      </c>
      <c r="G1889" s="409" t="s">
        <v>8211</v>
      </c>
      <c r="H1889" s="465">
        <v>2438.70838</v>
      </c>
      <c r="I1889" s="465">
        <v>88.858940000000004</v>
      </c>
      <c r="J1889" s="465">
        <v>362.66512999999998</v>
      </c>
      <c r="K1889" s="465">
        <v>40864.348619999997</v>
      </c>
      <c r="L1889" s="464" t="s">
        <v>539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tlmič</v>
      </c>
      <c r="C1890" s="185">
        <f t="shared" si="59"/>
        <v>10.703950000000001</v>
      </c>
      <c r="D1890" s="409" t="s">
        <v>8212</v>
      </c>
      <c r="E1890" s="409" t="s">
        <v>8213</v>
      </c>
      <c r="F1890" s="409" t="s">
        <v>8214</v>
      </c>
      <c r="G1890" s="409" t="s">
        <v>68</v>
      </c>
      <c r="H1890" s="465">
        <v>262.08</v>
      </c>
      <c r="I1890" s="465">
        <v>10.703950000000001</v>
      </c>
      <c r="J1890" s="465">
        <v>48.471420000000002</v>
      </c>
      <c r="K1890" s="465">
        <v>4544.1290399999998</v>
      </c>
      <c r="L1890" s="464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S-U profil pre lamino 18mm 2m strieborný</v>
      </c>
      <c r="C1891" s="185">
        <f t="shared" si="59"/>
        <v>0</v>
      </c>
      <c r="D1891" s="409" t="s">
        <v>8215</v>
      </c>
      <c r="E1891" s="409" t="s">
        <v>8216</v>
      </c>
      <c r="F1891" s="409" t="s">
        <v>8217</v>
      </c>
      <c r="G1891" s="409" t="s">
        <v>68</v>
      </c>
      <c r="H1891" s="465">
        <v>0</v>
      </c>
      <c r="I1891" s="465">
        <v>0</v>
      </c>
      <c r="J1891" s="465">
        <v>0</v>
      </c>
      <c r="K1891" s="465">
        <v>0</v>
      </c>
      <c r="L1891" s="464" t="s">
        <v>540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S-narážací profil 28mm 2m strieborný</v>
      </c>
      <c r="C1892" s="185">
        <f t="shared" si="59"/>
        <v>0</v>
      </c>
      <c r="D1892" s="409" t="s">
        <v>8218</v>
      </c>
      <c r="E1892" s="409" t="s">
        <v>8219</v>
      </c>
      <c r="F1892" s="409" t="s">
        <v>8220</v>
      </c>
      <c r="G1892" s="409" t="s">
        <v>68</v>
      </c>
      <c r="H1892" s="465">
        <v>0</v>
      </c>
      <c r="I1892" s="465">
        <v>0</v>
      </c>
      <c r="J1892" s="465">
        <v>0</v>
      </c>
      <c r="K1892" s="465">
        <v>0</v>
      </c>
      <c r="L1892" s="464" t="s">
        <v>540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KOMPLET pre ROZVR. DV. ZR18</v>
      </c>
      <c r="C1893" s="185">
        <f t="shared" si="59"/>
        <v>28.442699999999999</v>
      </c>
      <c r="D1893" s="409" t="s">
        <v>1529</v>
      </c>
      <c r="E1893" s="409" t="s">
        <v>1959</v>
      </c>
      <c r="F1893" s="409" t="s">
        <v>2182</v>
      </c>
      <c r="G1893" s="409" t="s">
        <v>2476</v>
      </c>
      <c r="H1893" s="465">
        <v>791.05652999999995</v>
      </c>
      <c r="I1893" s="465">
        <v>28.442699999999999</v>
      </c>
      <c r="J1893" s="465">
        <v>99.2256</v>
      </c>
      <c r="K1893" s="465">
        <v>11336.212799999999</v>
      </c>
      <c r="L1893" s="464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vodiací tŕň Omge 1390/1400</v>
      </c>
      <c r="C1894" s="185">
        <f t="shared" si="59"/>
        <v>0.83721000000000001</v>
      </c>
      <c r="D1894" s="409" t="s">
        <v>8221</v>
      </c>
      <c r="E1894" s="409" t="s">
        <v>8222</v>
      </c>
      <c r="F1894" s="409" t="s">
        <v>8223</v>
      </c>
      <c r="G1894" s="409" t="s">
        <v>8224</v>
      </c>
      <c r="H1894" s="465">
        <v>20.775880000000001</v>
      </c>
      <c r="I1894" s="465">
        <v>0.83721000000000001</v>
      </c>
      <c r="J1894" s="465">
        <v>3.7972899999999998</v>
      </c>
      <c r="K1894" s="465">
        <v>302.67500000000001</v>
      </c>
      <c r="L1894" s="464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WC Al elox profil horný 13/18 mm pre kabinky, dĺžka 3,2m</v>
      </c>
      <c r="C1895" s="185">
        <f t="shared" si="59"/>
        <v>51.492109999999997</v>
      </c>
      <c r="D1895" s="409" t="s">
        <v>8225</v>
      </c>
      <c r="E1895" s="409" t="s">
        <v>8226</v>
      </c>
      <c r="F1895" s="409" t="s">
        <v>8227</v>
      </c>
      <c r="G1895" s="409" t="s">
        <v>8228</v>
      </c>
      <c r="H1895" s="465">
        <v>1342.3032900000001</v>
      </c>
      <c r="I1895" s="465">
        <v>51.492109999999997</v>
      </c>
      <c r="J1895" s="465">
        <v>239.11277000000001</v>
      </c>
      <c r="K1895" s="465">
        <v>20508.467519999998</v>
      </c>
      <c r="L1895" s="464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elox profil horný 10/25 mm pre kabinky, dĺžka 3,2m</v>
      </c>
      <c r="C1896" s="185">
        <f t="shared" si="59"/>
        <v>51.492109999999997</v>
      </c>
      <c r="D1896" s="409" t="s">
        <v>8229</v>
      </c>
      <c r="E1896" s="409" t="s">
        <v>8230</v>
      </c>
      <c r="F1896" s="409" t="s">
        <v>8231</v>
      </c>
      <c r="G1896" s="409" t="s">
        <v>8232</v>
      </c>
      <c r="H1896" s="465">
        <v>1342.3032900000001</v>
      </c>
      <c r="I1896" s="465">
        <v>51.492109999999997</v>
      </c>
      <c r="J1896" s="465">
        <v>239.11277000000001</v>
      </c>
      <c r="K1896" s="465">
        <v>20508.467519999998</v>
      </c>
      <c r="L1896" s="464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9" t="e">
        <v>#N/A</v>
      </c>
      <c r="E1897" s="409" t="e">
        <v>#N/A</v>
      </c>
      <c r="F1897" s="409" t="e">
        <v>#N/A</v>
      </c>
      <c r="G1897" s="409" t="e">
        <v>#N/A</v>
      </c>
      <c r="H1897" s="465" t="e">
        <v>#N/A</v>
      </c>
      <c r="I1897" s="465" t="e">
        <v>#N/A</v>
      </c>
      <c r="J1897" s="465" t="e">
        <v>#N/A</v>
      </c>
      <c r="K1897" s="465" t="e">
        <v>#N/A</v>
      </c>
      <c r="L1897" s="464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9" t="e">
        <v>#N/A</v>
      </c>
      <c r="E1898" s="409" t="e">
        <v>#N/A</v>
      </c>
      <c r="F1898" s="409" t="e">
        <v>#N/A</v>
      </c>
      <c r="G1898" s="409" t="e">
        <v>#N/A</v>
      </c>
      <c r="H1898" s="465" t="e">
        <v>#N/A</v>
      </c>
      <c r="I1898" s="465" t="e">
        <v>#N/A</v>
      </c>
      <c r="J1898" s="465" t="e">
        <v>#N/A</v>
      </c>
      <c r="K1898" s="465" t="e">
        <v>#N/A</v>
      </c>
      <c r="L1898" s="464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9" t="e">
        <v>#N/A</v>
      </c>
      <c r="E1899" s="409" t="e">
        <v>#N/A</v>
      </c>
      <c r="F1899" s="409" t="e">
        <v>#N/A</v>
      </c>
      <c r="G1899" s="409" t="e">
        <v>#N/A</v>
      </c>
      <c r="H1899" s="465" t="e">
        <v>#N/A</v>
      </c>
      <c r="I1899" s="465" t="e">
        <v>#N/A</v>
      </c>
      <c r="J1899" s="465" t="e">
        <v>#N/A</v>
      </c>
      <c r="K1899" s="465" t="e">
        <v>#N/A</v>
      </c>
      <c r="L1899" s="464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tlmič</v>
      </c>
      <c r="C1900" s="185">
        <f t="shared" si="59"/>
        <v>10.703950000000001</v>
      </c>
      <c r="D1900" s="409" t="s">
        <v>8233</v>
      </c>
      <c r="E1900" s="409" t="s">
        <v>8234</v>
      </c>
      <c r="F1900" s="409" t="s">
        <v>8235</v>
      </c>
      <c r="G1900" s="409" t="s">
        <v>8236</v>
      </c>
      <c r="H1900" s="465">
        <v>262.08</v>
      </c>
      <c r="I1900" s="465">
        <v>10.703950000000001</v>
      </c>
      <c r="J1900" s="465">
        <v>48.471420000000002</v>
      </c>
      <c r="K1900" s="465">
        <v>4544.1290399999998</v>
      </c>
      <c r="L1900" s="464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tlmič</v>
      </c>
      <c r="C1901" s="185">
        <f t="shared" si="59"/>
        <v>10.703950000000001</v>
      </c>
      <c r="D1901" s="409" t="s">
        <v>8237</v>
      </c>
      <c r="E1901" s="409" t="s">
        <v>8238</v>
      </c>
      <c r="F1901" s="409" t="s">
        <v>8239</v>
      </c>
      <c r="G1901" s="409" t="s">
        <v>8240</v>
      </c>
      <c r="H1901" s="465">
        <v>262.08</v>
      </c>
      <c r="I1901" s="465">
        <v>10.703950000000001</v>
      </c>
      <c r="J1901" s="465">
        <v>48.471420000000002</v>
      </c>
      <c r="K1901" s="465">
        <v>4544.1290399999998</v>
      </c>
      <c r="L1901" s="464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IC-horné vedenie EU 4m šampáň</v>
      </c>
      <c r="C1902" s="185">
        <f t="shared" si="59"/>
        <v>32.556890000000003</v>
      </c>
      <c r="D1902" s="409" t="s">
        <v>8241</v>
      </c>
      <c r="E1902" s="409" t="s">
        <v>8242</v>
      </c>
      <c r="F1902" s="409" t="s">
        <v>8243</v>
      </c>
      <c r="G1902" s="409" t="s">
        <v>8244</v>
      </c>
      <c r="H1902" s="465">
        <v>1359.75</v>
      </c>
      <c r="I1902" s="465">
        <v>32.556890000000003</v>
      </c>
      <c r="J1902" s="465">
        <v>179.53355999999999</v>
      </c>
      <c r="K1902" s="465">
        <v>27370.45162</v>
      </c>
      <c r="L1902" s="464" t="s">
        <v>539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IC-spodné vedenie EU 4m šampáň</v>
      </c>
      <c r="C1903" s="185">
        <f t="shared" si="59"/>
        <v>14.7119</v>
      </c>
      <c r="D1903" s="409" t="s">
        <v>8245</v>
      </c>
      <c r="E1903" s="409" t="s">
        <v>8246</v>
      </c>
      <c r="F1903" s="409" t="s">
        <v>8247</v>
      </c>
      <c r="G1903" s="409" t="s">
        <v>8248</v>
      </c>
      <c r="H1903" s="465">
        <v>614.25</v>
      </c>
      <c r="I1903" s="465">
        <v>14.7119</v>
      </c>
      <c r="J1903" s="465">
        <v>81.128140000000002</v>
      </c>
      <c r="K1903" s="465">
        <v>12364.25807</v>
      </c>
      <c r="L1903" s="464" t="s">
        <v>539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IC-sada horných vozíkov (2ks) pre  Rome</v>
      </c>
      <c r="C1904" s="185">
        <f t="shared" si="59"/>
        <v>2.7925399999999998</v>
      </c>
      <c r="D1904" s="409" t="s">
        <v>8249</v>
      </c>
      <c r="E1904" s="409" t="s">
        <v>8250</v>
      </c>
      <c r="F1904" s="409" t="s">
        <v>8251</v>
      </c>
      <c r="G1904" s="409" t="s">
        <v>8252</v>
      </c>
      <c r="H1904" s="465">
        <v>71.75</v>
      </c>
      <c r="I1904" s="465">
        <v>2.7925399999999998</v>
      </c>
      <c r="J1904" s="465">
        <v>15.399319999999999</v>
      </c>
      <c r="K1904" s="465">
        <v>0</v>
      </c>
      <c r="L1904" s="464" t="s">
        <v>537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IC-sada spodných vozíkov (2ks) pre Rome</v>
      </c>
      <c r="C1905" s="185">
        <f t="shared" si="59"/>
        <v>6.1163400000000001</v>
      </c>
      <c r="D1905" s="409" t="s">
        <v>8253</v>
      </c>
      <c r="E1905" s="409" t="s">
        <v>8254</v>
      </c>
      <c r="F1905" s="409" t="s">
        <v>8255</v>
      </c>
      <c r="G1905" s="409" t="s">
        <v>8256</v>
      </c>
      <c r="H1905" s="465">
        <v>157.15</v>
      </c>
      <c r="I1905" s="465">
        <v>6.1163400000000001</v>
      </c>
      <c r="J1905" s="465">
        <v>33.728279999999998</v>
      </c>
      <c r="K1905" s="465">
        <v>0</v>
      </c>
      <c r="L1905" s="464" t="s">
        <v>537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9" t="e">
        <v>#N/A</v>
      </c>
      <c r="E1906" s="409" t="e">
        <v>#N/A</v>
      </c>
      <c r="F1906" s="409" t="e">
        <v>#N/A</v>
      </c>
      <c r="G1906" s="409" t="e">
        <v>#N/A</v>
      </c>
      <c r="H1906" s="465" t="e">
        <v>#N/A</v>
      </c>
      <c r="I1906" s="465" t="e">
        <v>#N/A</v>
      </c>
      <c r="J1906" s="465" t="e">
        <v>#N/A</v>
      </c>
      <c r="K1906" s="465" t="e">
        <v>#N/A</v>
      </c>
      <c r="L1906" s="464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9" t="e">
        <v>#N/A</v>
      </c>
      <c r="E1907" s="409" t="e">
        <v>#N/A</v>
      </c>
      <c r="F1907" s="409" t="e">
        <v>#N/A</v>
      </c>
      <c r="G1907" s="409" t="e">
        <v>#N/A</v>
      </c>
      <c r="H1907" s="465" t="e">
        <v>#N/A</v>
      </c>
      <c r="I1907" s="465" t="e">
        <v>#N/A</v>
      </c>
      <c r="J1907" s="465" t="e">
        <v>#N/A</v>
      </c>
      <c r="K1907" s="465" t="e">
        <v>#N/A</v>
      </c>
      <c r="L1907" s="464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9" t="e">
        <v>#N/A</v>
      </c>
      <c r="E1908" s="409" t="e">
        <v>#N/A</v>
      </c>
      <c r="F1908" s="409" t="e">
        <v>#N/A</v>
      </c>
      <c r="G1908" s="409" t="e">
        <v>#N/A</v>
      </c>
      <c r="H1908" s="465" t="e">
        <v>#N/A</v>
      </c>
      <c r="I1908" s="465" t="e">
        <v>#N/A</v>
      </c>
      <c r="J1908" s="465" t="e">
        <v>#N/A</v>
      </c>
      <c r="K1908" s="465" t="e">
        <v>#N/A</v>
      </c>
      <c r="L1908" s="464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9" t="e">
        <v>#N/A</v>
      </c>
      <c r="E1909" s="409" t="e">
        <v>#N/A</v>
      </c>
      <c r="F1909" s="409" t="e">
        <v>#N/A</v>
      </c>
      <c r="G1909" s="409" t="e">
        <v>#N/A</v>
      </c>
      <c r="H1909" s="465" t="e">
        <v>#N/A</v>
      </c>
      <c r="I1909" s="465" t="e">
        <v>#N/A</v>
      </c>
      <c r="J1909" s="465" t="e">
        <v>#N/A</v>
      </c>
      <c r="K1909" s="465" t="e">
        <v>#N/A</v>
      </c>
      <c r="L1909" s="464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9" t="e">
        <v>#N/A</v>
      </c>
      <c r="E1910" s="409" t="e">
        <v>#N/A</v>
      </c>
      <c r="F1910" s="409" t="e">
        <v>#N/A</v>
      </c>
      <c r="G1910" s="409" t="e">
        <v>#N/A</v>
      </c>
      <c r="H1910" s="465" t="e">
        <v>#N/A</v>
      </c>
      <c r="I1910" s="465" t="e">
        <v>#N/A</v>
      </c>
      <c r="J1910" s="465" t="e">
        <v>#N/A</v>
      </c>
      <c r="K1910" s="465" t="e">
        <v>#N/A</v>
      </c>
      <c r="L1910" s="464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9" t="e">
        <v>#N/A</v>
      </c>
      <c r="E1911" s="409" t="e">
        <v>#N/A</v>
      </c>
      <c r="F1911" s="409" t="e">
        <v>#N/A</v>
      </c>
      <c r="G1911" s="409" t="e">
        <v>#N/A</v>
      </c>
      <c r="H1911" s="465" t="e">
        <v>#N/A</v>
      </c>
      <c r="I1911" s="465" t="e">
        <v>#N/A</v>
      </c>
      <c r="J1911" s="465" t="e">
        <v>#N/A</v>
      </c>
      <c r="K1911" s="465" t="e">
        <v>#N/A</v>
      </c>
      <c r="L1911" s="464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9" t="e">
        <v>#N/A</v>
      </c>
      <c r="E1912" s="409" t="e">
        <v>#N/A</v>
      </c>
      <c r="F1912" s="409" t="e">
        <v>#N/A</v>
      </c>
      <c r="G1912" s="409" t="e">
        <v>#N/A</v>
      </c>
      <c r="H1912" s="465" t="e">
        <v>#N/A</v>
      </c>
      <c r="I1912" s="465" t="e">
        <v>#N/A</v>
      </c>
      <c r="J1912" s="465" t="e">
        <v>#N/A</v>
      </c>
      <c r="K1912" s="465" t="e">
        <v>#N/A</v>
      </c>
      <c r="L1912" s="464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9" t="e">
        <v>#N/A</v>
      </c>
      <c r="E1913" s="409" t="e">
        <v>#N/A</v>
      </c>
      <c r="F1913" s="409" t="e">
        <v>#N/A</v>
      </c>
      <c r="G1913" s="409" t="e">
        <v>#N/A</v>
      </c>
      <c r="H1913" s="465" t="e">
        <v>#N/A</v>
      </c>
      <c r="I1913" s="465" t="e">
        <v>#N/A</v>
      </c>
      <c r="J1913" s="465" t="e">
        <v>#N/A</v>
      </c>
      <c r="K1913" s="465" t="e">
        <v>#N/A</v>
      </c>
      <c r="L1913" s="464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9" t="e">
        <v>#N/A</v>
      </c>
      <c r="E1914" s="409" t="e">
        <v>#N/A</v>
      </c>
      <c r="F1914" s="409" t="e">
        <v>#N/A</v>
      </c>
      <c r="G1914" s="409" t="e">
        <v>#N/A</v>
      </c>
      <c r="H1914" s="465" t="e">
        <v>#N/A</v>
      </c>
      <c r="I1914" s="465" t="e">
        <v>#N/A</v>
      </c>
      <c r="J1914" s="465" t="e">
        <v>#N/A</v>
      </c>
      <c r="K1914" s="465" t="e">
        <v>#N/A</v>
      </c>
      <c r="L1914" s="464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9" t="e">
        <v>#N/A</v>
      </c>
      <c r="E1915" s="409" t="e">
        <v>#N/A</v>
      </c>
      <c r="F1915" s="409" t="e">
        <v>#N/A</v>
      </c>
      <c r="G1915" s="409" t="e">
        <v>#N/A</v>
      </c>
      <c r="H1915" s="465" t="e">
        <v>#N/A</v>
      </c>
      <c r="I1915" s="465" t="e">
        <v>#N/A</v>
      </c>
      <c r="J1915" s="465" t="e">
        <v>#N/A</v>
      </c>
      <c r="K1915" s="465" t="e">
        <v>#N/A</v>
      </c>
      <c r="L1915" s="464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S-S45-kryt předných dverí 2m strieborny</v>
      </c>
      <c r="C1916" s="185">
        <f t="shared" si="59"/>
        <v>0</v>
      </c>
      <c r="D1916" s="409" t="s">
        <v>8257</v>
      </c>
      <c r="E1916" s="409" t="s">
        <v>8258</v>
      </c>
      <c r="F1916" s="409" t="s">
        <v>8259</v>
      </c>
      <c r="G1916" s="409" t="s">
        <v>8260</v>
      </c>
      <c r="H1916" s="465">
        <v>0</v>
      </c>
      <c r="I1916" s="465">
        <v>0</v>
      </c>
      <c r="J1916" s="465">
        <v>0</v>
      </c>
      <c r="K1916" s="465">
        <v>0</v>
      </c>
      <c r="L1916" s="464" t="s">
        <v>540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/>
      </c>
      <c r="C1917" s="185">
        <f t="shared" si="59"/>
        <v>0.45600000000000002</v>
      </c>
      <c r="D1917" s="409" t="s">
        <v>8261</v>
      </c>
      <c r="E1917" s="409" t="s">
        <v>8262</v>
      </c>
      <c r="F1917" s="409" t="s">
        <v>68</v>
      </c>
      <c r="G1917" s="409" t="s">
        <v>8263</v>
      </c>
      <c r="H1917" s="465">
        <v>11.375</v>
      </c>
      <c r="I1917" s="465">
        <v>0.45600000000000002</v>
      </c>
      <c r="J1917" s="465">
        <v>2.44136</v>
      </c>
      <c r="K1917" s="465">
        <v>0</v>
      </c>
      <c r="L1917" s="464" t="s">
        <v>537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sada kovania pre tlmič Mini</v>
      </c>
      <c r="C1918" s="185">
        <f t="shared" si="59"/>
        <v>2.0818099999999999</v>
      </c>
      <c r="D1918" s="409" t="s">
        <v>1530</v>
      </c>
      <c r="E1918" s="409" t="s">
        <v>1960</v>
      </c>
      <c r="F1918" s="409" t="s">
        <v>6032</v>
      </c>
      <c r="G1918" s="409" t="s">
        <v>6033</v>
      </c>
      <c r="H1918" s="465">
        <v>61.440480000000001</v>
      </c>
      <c r="I1918" s="465">
        <v>2.0818099999999999</v>
      </c>
      <c r="J1918" s="465">
        <v>6.9930000000000003</v>
      </c>
      <c r="K1918" s="465">
        <v>853.24662999999998</v>
      </c>
      <c r="L1918" s="464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9" t="e">
        <v>#N/A</v>
      </c>
      <c r="E1919" s="409" t="e">
        <v>#N/A</v>
      </c>
      <c r="F1919" s="409" t="e">
        <v>#N/A</v>
      </c>
      <c r="G1919" s="409" t="e">
        <v>#N/A</v>
      </c>
      <c r="H1919" s="465" t="e">
        <v>#N/A</v>
      </c>
      <c r="I1919" s="465" t="e">
        <v>#N/A</v>
      </c>
      <c r="J1919" s="465" t="e">
        <v>#N/A</v>
      </c>
      <c r="K1919" s="465" t="e">
        <v>#N/A</v>
      </c>
      <c r="L1919" s="464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/>
      </c>
      <c r="C1920" s="185">
        <f t="shared" si="59"/>
        <v>2.2679999999999999E-2</v>
      </c>
      <c r="D1920" s="409" t="s">
        <v>1531</v>
      </c>
      <c r="E1920" s="409" t="s">
        <v>68</v>
      </c>
      <c r="F1920" s="409" t="s">
        <v>68</v>
      </c>
      <c r="G1920" s="409" t="s">
        <v>68</v>
      </c>
      <c r="H1920" s="465">
        <v>0</v>
      </c>
      <c r="I1920" s="465">
        <v>2.2679999999999999E-2</v>
      </c>
      <c r="J1920" s="465">
        <v>0</v>
      </c>
      <c r="K1920" s="465">
        <v>0</v>
      </c>
      <c r="L1920" s="464" t="s">
        <v>540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9" t="e">
        <v>#N/A</v>
      </c>
      <c r="E1921" s="409" t="e">
        <v>#N/A</v>
      </c>
      <c r="F1921" s="409" t="e">
        <v>#N/A</v>
      </c>
      <c r="G1921" s="409" t="e">
        <v>#N/A</v>
      </c>
      <c r="H1921" s="465" t="e">
        <v>#N/A</v>
      </c>
      <c r="I1921" s="465" t="e">
        <v>#N/A</v>
      </c>
      <c r="J1921" s="465" t="e">
        <v>#N/A</v>
      </c>
      <c r="K1921" s="465" t="e">
        <v>#N/A</v>
      </c>
      <c r="L1921" s="464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9" t="e">
        <v>#N/A</v>
      </c>
      <c r="E1922" s="409" t="e">
        <v>#N/A</v>
      </c>
      <c r="F1922" s="409" t="e">
        <v>#N/A</v>
      </c>
      <c r="G1922" s="409" t="e">
        <v>#N/A</v>
      </c>
      <c r="H1922" s="465" t="e">
        <v>#N/A</v>
      </c>
      <c r="I1922" s="465" t="e">
        <v>#N/A</v>
      </c>
      <c r="J1922" s="465" t="e">
        <v>#N/A</v>
      </c>
      <c r="K1922" s="465" t="e">
        <v>#N/A</v>
      </c>
      <c r="L1922" s="464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krycí profil Herakles 3m</v>
      </c>
      <c r="C1923" s="185">
        <f t="shared" si="59"/>
        <v>22.665679999999998</v>
      </c>
      <c r="D1923" s="409" t="s">
        <v>1532</v>
      </c>
      <c r="E1923" s="409" t="s">
        <v>1961</v>
      </c>
      <c r="F1923" s="409" t="s">
        <v>1532</v>
      </c>
      <c r="G1923" s="409" t="s">
        <v>6034</v>
      </c>
      <c r="H1923" s="465">
        <v>600.90607999999997</v>
      </c>
      <c r="I1923" s="465">
        <v>22.665679999999998</v>
      </c>
      <c r="J1923" s="465">
        <v>77.328959999999995</v>
      </c>
      <c r="K1923" s="465">
        <v>8777.6907100000008</v>
      </c>
      <c r="L1923" s="464" t="s">
        <v>539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horné vedenie 3m surový</v>
      </c>
      <c r="C1924" s="185">
        <f t="shared" ref="C1924:C1987" si="61">IF($A$2=1,H1924,IF($A$2=2,I1924,IF($A$2=3,J1924,IF($A$2=4,K1924,IF($A$2&gt;4,O1924,"zadat jazyk")))))</f>
        <v>24.357150000000001</v>
      </c>
      <c r="D1924" s="409" t="s">
        <v>1533</v>
      </c>
      <c r="E1924" s="409" t="s">
        <v>1962</v>
      </c>
      <c r="F1924" s="409" t="s">
        <v>6035</v>
      </c>
      <c r="G1924" s="409" t="s">
        <v>68</v>
      </c>
      <c r="H1924" s="465">
        <v>645.74982999999997</v>
      </c>
      <c r="I1924" s="465">
        <v>24.357150000000001</v>
      </c>
      <c r="J1924" s="465">
        <v>83.099779999999996</v>
      </c>
      <c r="K1924" s="465">
        <v>9432.7424599999995</v>
      </c>
      <c r="L1924" s="464" t="s">
        <v>539</v>
      </c>
      <c r="O1924">
        <v>21.67</v>
      </c>
      <c r="P1924" t="s">
        <v>10137</v>
      </c>
    </row>
    <row r="1925" spans="1:16" ht="14.4" x14ac:dyDescent="0.3">
      <c r="A1925">
        <v>376056</v>
      </c>
      <c r="B1925" t="str">
        <f t="shared" si="60"/>
        <v>SEVROLL 20392 Herakles tlmič 40kg</v>
      </c>
      <c r="C1925" s="185" t="e">
        <f t="shared" si="61"/>
        <v>#N/A</v>
      </c>
      <c r="D1925" s="409" t="s">
        <v>1534</v>
      </c>
      <c r="E1925" s="409" t="s">
        <v>1963</v>
      </c>
      <c r="F1925" s="409" t="s">
        <v>6036</v>
      </c>
      <c r="G1925" s="409" t="s">
        <v>6037</v>
      </c>
      <c r="H1925" s="465" t="e">
        <v>#N/A</v>
      </c>
      <c r="I1925" s="465" t="e">
        <v>#N/A</v>
      </c>
      <c r="J1925" s="465" t="e">
        <v>#N/A</v>
      </c>
      <c r="K1925" s="465" t="e">
        <v>#N/A</v>
      </c>
      <c r="L1925" s="464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str">
        <f t="shared" si="60"/>
        <v>SEVROLL 20393 Herakles tlmič 40 - 80kg</v>
      </c>
      <c r="C1926" s="185" t="e">
        <f t="shared" si="61"/>
        <v>#N/A</v>
      </c>
      <c r="D1926" s="409" t="s">
        <v>1535</v>
      </c>
      <c r="E1926" s="409" t="s">
        <v>1964</v>
      </c>
      <c r="F1926" s="409" t="s">
        <v>6038</v>
      </c>
      <c r="G1926" s="409" t="s">
        <v>6039</v>
      </c>
      <c r="H1926" s="465" t="e">
        <v>#N/A</v>
      </c>
      <c r="I1926" s="465" t="e">
        <v>#N/A</v>
      </c>
      <c r="J1926" s="465" t="e">
        <v>#N/A</v>
      </c>
      <c r="K1926" s="465" t="e">
        <v>#N/A</v>
      </c>
      <c r="L1926" s="464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sada kovania ZPH-18 pre 1 krídlo</v>
      </c>
      <c r="C1927" s="185">
        <f t="shared" si="61"/>
        <v>19.20468</v>
      </c>
      <c r="D1927" s="409" t="s">
        <v>1536</v>
      </c>
      <c r="E1927" s="409" t="s">
        <v>1965</v>
      </c>
      <c r="F1927" s="409" t="s">
        <v>6040</v>
      </c>
      <c r="G1927" s="409" t="s">
        <v>6041</v>
      </c>
      <c r="H1927" s="465">
        <v>509.14890000000003</v>
      </c>
      <c r="I1927" s="465">
        <v>19.20468</v>
      </c>
      <c r="J1927" s="465">
        <v>65.520989999999998</v>
      </c>
      <c r="K1927" s="465">
        <v>7437.3545800000002</v>
      </c>
      <c r="L1927" s="464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držiak horného vedenia Herakles</v>
      </c>
      <c r="C1928" s="185">
        <f t="shared" si="61"/>
        <v>1.8736299999999999</v>
      </c>
      <c r="D1928" s="409" t="s">
        <v>1537</v>
      </c>
      <c r="E1928" s="409" t="s">
        <v>1966</v>
      </c>
      <c r="F1928" s="409" t="s">
        <v>6042</v>
      </c>
      <c r="G1928" s="409" t="s">
        <v>68</v>
      </c>
      <c r="H1928" s="465">
        <v>49.67306</v>
      </c>
      <c r="I1928" s="465">
        <v>1.8736299999999999</v>
      </c>
      <c r="J1928" s="465">
        <v>6.39229</v>
      </c>
      <c r="K1928" s="465">
        <v>725.59547999999995</v>
      </c>
      <c r="L1928" s="464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spodný vozík</v>
      </c>
      <c r="C1929" s="185">
        <f t="shared" si="61"/>
        <v>4.4754199999999997</v>
      </c>
      <c r="D1929" s="409" t="s">
        <v>8264</v>
      </c>
      <c r="E1929" s="409" t="s">
        <v>8265</v>
      </c>
      <c r="F1929" s="409" t="s">
        <v>8266</v>
      </c>
      <c r="G1929" s="409" t="s">
        <v>8267</v>
      </c>
      <c r="H1929" s="465">
        <v>93.400319999999994</v>
      </c>
      <c r="I1929" s="465">
        <v>4.4754199999999997</v>
      </c>
      <c r="J1929" s="465">
        <v>17.188079999999999</v>
      </c>
      <c r="K1929" s="465">
        <v>0</v>
      </c>
      <c r="L1929" s="464" t="s">
        <v>537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horný vozík</v>
      </c>
      <c r="C1930" s="185">
        <f t="shared" si="61"/>
        <v>2.9735</v>
      </c>
      <c r="D1930" s="409" t="s">
        <v>8268</v>
      </c>
      <c r="E1930" s="409" t="s">
        <v>8269</v>
      </c>
      <c r="F1930" s="409" t="s">
        <v>8270</v>
      </c>
      <c r="G1930" s="409" t="s">
        <v>8271</v>
      </c>
      <c r="H1930" s="465">
        <v>75.328019999999995</v>
      </c>
      <c r="I1930" s="465">
        <v>2.9735</v>
      </c>
      <c r="J1930" s="465">
        <v>14.13827</v>
      </c>
      <c r="K1930" s="465">
        <v>0</v>
      </c>
      <c r="L1930" s="464" t="s">
        <v>537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sada kovania ZSE-10</v>
      </c>
      <c r="C1931" s="185">
        <f t="shared" si="61"/>
        <v>47.621360000000003</v>
      </c>
      <c r="D1931" s="409" t="s">
        <v>1538</v>
      </c>
      <c r="E1931" s="409" t="s">
        <v>1967</v>
      </c>
      <c r="F1931" s="409" t="s">
        <v>6043</v>
      </c>
      <c r="G1931" s="409" t="s">
        <v>2477</v>
      </c>
      <c r="H1931" s="465">
        <v>1324.4588000000001</v>
      </c>
      <c r="I1931" s="465">
        <v>47.621360000000003</v>
      </c>
      <c r="J1931" s="465">
        <v>166.12739999999999</v>
      </c>
      <c r="K1931" s="465">
        <v>18980.118620000001</v>
      </c>
      <c r="L1931" s="464" t="s">
        <v>539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S-S50-horná lišta alu surová 2m</v>
      </c>
      <c r="C1932" s="185">
        <f t="shared" si="61"/>
        <v>0</v>
      </c>
      <c r="D1932" s="409" t="s">
        <v>8272</v>
      </c>
      <c r="E1932" s="409" t="s">
        <v>8273</v>
      </c>
      <c r="F1932" s="409" t="s">
        <v>8274</v>
      </c>
      <c r="G1932" s="409" t="s">
        <v>8275</v>
      </c>
      <c r="H1932" s="465">
        <v>0</v>
      </c>
      <c r="I1932" s="465">
        <v>0</v>
      </c>
      <c r="J1932" s="465">
        <v>0</v>
      </c>
      <c r="K1932" s="465">
        <v>0</v>
      </c>
      <c r="L1932" s="464" t="s">
        <v>540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S-S50-horná lišta alu surová 3m</v>
      </c>
      <c r="C1933" s="185">
        <f t="shared" si="61"/>
        <v>0</v>
      </c>
      <c r="D1933" s="409" t="s">
        <v>8276</v>
      </c>
      <c r="E1933" s="409" t="s">
        <v>8277</v>
      </c>
      <c r="F1933" s="409" t="s">
        <v>8278</v>
      </c>
      <c r="G1933" s="409" t="s">
        <v>8279</v>
      </c>
      <c r="H1933" s="465">
        <v>0</v>
      </c>
      <c r="I1933" s="465">
        <v>0</v>
      </c>
      <c r="J1933" s="465">
        <v>0</v>
      </c>
      <c r="K1933" s="465">
        <v>0</v>
      </c>
      <c r="L1933" s="464" t="s">
        <v>540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S-S50-spodná lišta alu surová 2m</v>
      </c>
      <c r="C1934" s="185">
        <f t="shared" si="61"/>
        <v>0</v>
      </c>
      <c r="D1934" s="409" t="s">
        <v>8280</v>
      </c>
      <c r="E1934" s="409" t="s">
        <v>8281</v>
      </c>
      <c r="F1934" s="409" t="s">
        <v>8282</v>
      </c>
      <c r="G1934" s="409" t="s">
        <v>8283</v>
      </c>
      <c r="H1934" s="465">
        <v>0</v>
      </c>
      <c r="I1934" s="465">
        <v>0</v>
      </c>
      <c r="J1934" s="465">
        <v>0</v>
      </c>
      <c r="K1934" s="465">
        <v>0</v>
      </c>
      <c r="L1934" s="464" t="s">
        <v>540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9" t="e">
        <v>#N/A</v>
      </c>
      <c r="E1935" s="409" t="e">
        <v>#N/A</v>
      </c>
      <c r="F1935" s="409" t="e">
        <v>#N/A</v>
      </c>
      <c r="G1935" s="409" t="e">
        <v>#N/A</v>
      </c>
      <c r="H1935" s="465" t="e">
        <v>#N/A</v>
      </c>
      <c r="I1935" s="465" t="e">
        <v>#N/A</v>
      </c>
      <c r="J1935" s="465" t="e">
        <v>#N/A</v>
      </c>
      <c r="K1935" s="465" t="e">
        <v>#N/A</v>
      </c>
      <c r="L1935" s="464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9" t="e">
        <v>#N/A</v>
      </c>
      <c r="E1936" s="409" t="e">
        <v>#N/A</v>
      </c>
      <c r="F1936" s="409" t="e">
        <v>#N/A</v>
      </c>
      <c r="G1936" s="409" t="e">
        <v>#N/A</v>
      </c>
      <c r="H1936" s="465" t="e">
        <v>#N/A</v>
      </c>
      <c r="I1936" s="465" t="e">
        <v>#N/A</v>
      </c>
      <c r="J1936" s="465" t="e">
        <v>#N/A</v>
      </c>
      <c r="K1936" s="465" t="e">
        <v>#N/A</v>
      </c>
      <c r="L1936" s="464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9" t="e">
        <v>#N/A</v>
      </c>
      <c r="E1937" s="409" t="e">
        <v>#N/A</v>
      </c>
      <c r="F1937" s="409" t="e">
        <v>#N/A</v>
      </c>
      <c r="G1937" s="409" t="e">
        <v>#N/A</v>
      </c>
      <c r="H1937" s="465" t="e">
        <v>#N/A</v>
      </c>
      <c r="I1937" s="465" t="e">
        <v>#N/A</v>
      </c>
      <c r="J1937" s="465" t="e">
        <v>#N/A</v>
      </c>
      <c r="K1937" s="465" t="e">
        <v>#N/A</v>
      </c>
      <c r="L1937" s="464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9" t="e">
        <v>#N/A</v>
      </c>
      <c r="E1938" s="409" t="e">
        <v>#N/A</v>
      </c>
      <c r="F1938" s="409" t="e">
        <v>#N/A</v>
      </c>
      <c r="G1938" s="409" t="e">
        <v>#N/A</v>
      </c>
      <c r="H1938" s="465" t="e">
        <v>#N/A</v>
      </c>
      <c r="I1938" s="465" t="e">
        <v>#N/A</v>
      </c>
      <c r="J1938" s="465" t="e">
        <v>#N/A</v>
      </c>
      <c r="K1938" s="465" t="e">
        <v>#N/A</v>
      </c>
      <c r="L1938" s="464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9" t="e">
        <v>#N/A</v>
      </c>
      <c r="E1939" s="409" t="e">
        <v>#N/A</v>
      </c>
      <c r="F1939" s="409" t="e">
        <v>#N/A</v>
      </c>
      <c r="G1939" s="409" t="e">
        <v>#N/A</v>
      </c>
      <c r="H1939" s="465" t="e">
        <v>#N/A</v>
      </c>
      <c r="I1939" s="465" t="e">
        <v>#N/A</v>
      </c>
      <c r="J1939" s="465" t="e">
        <v>#N/A</v>
      </c>
      <c r="K1939" s="465" t="e">
        <v>#N/A</v>
      </c>
      <c r="L1939" s="464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9" t="e">
        <v>#N/A</v>
      </c>
      <c r="E1940" s="409" t="e">
        <v>#N/A</v>
      </c>
      <c r="F1940" s="409" t="e">
        <v>#N/A</v>
      </c>
      <c r="G1940" s="409" t="e">
        <v>#N/A</v>
      </c>
      <c r="H1940" s="465" t="e">
        <v>#N/A</v>
      </c>
      <c r="I1940" s="465" t="e">
        <v>#N/A</v>
      </c>
      <c r="J1940" s="465" t="e">
        <v>#N/A</v>
      </c>
      <c r="K1940" s="465" t="e">
        <v>#N/A</v>
      </c>
      <c r="L1940" s="464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S-sada kovania S65-2</v>
      </c>
      <c r="C1941" s="185">
        <f t="shared" si="61"/>
        <v>12.19061</v>
      </c>
      <c r="D1941" s="409" t="s">
        <v>8284</v>
      </c>
      <c r="E1941" s="409" t="s">
        <v>8285</v>
      </c>
      <c r="F1941" s="409" t="s">
        <v>8286</v>
      </c>
      <c r="G1941" s="409" t="s">
        <v>8287</v>
      </c>
      <c r="H1941" s="465">
        <v>298.48</v>
      </c>
      <c r="I1941" s="465">
        <v>12.19061</v>
      </c>
      <c r="J1941" s="465">
        <v>55.203560000000003</v>
      </c>
      <c r="K1941" s="465">
        <v>5175.2580600000001</v>
      </c>
      <c r="L1941" s="464" t="s">
        <v>537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 S10 str.elox 2,7m</v>
      </c>
      <c r="C1942" s="185">
        <f t="shared" si="61"/>
        <v>27.889749999999999</v>
      </c>
      <c r="D1942" s="409" t="s">
        <v>8288</v>
      </c>
      <c r="E1942" s="409" t="s">
        <v>8289</v>
      </c>
      <c r="F1942" s="409" t="s">
        <v>8290</v>
      </c>
      <c r="G1942" s="409" t="s">
        <v>8291</v>
      </c>
      <c r="H1942" s="465">
        <v>682.86400000000003</v>
      </c>
      <c r="I1942" s="465">
        <v>27.889749999999999</v>
      </c>
      <c r="J1942" s="465">
        <v>127.52678</v>
      </c>
      <c r="K1942" s="465">
        <v>12288.645500000001</v>
      </c>
      <c r="L1942" s="464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str">
        <f t="shared" si="60"/>
        <v>MSE-spodný vozík pre DTD 18mm</v>
      </c>
      <c r="C1943" s="185" t="e">
        <f t="shared" si="61"/>
        <v>#N/A</v>
      </c>
      <c r="D1943" s="409" t="s">
        <v>1539</v>
      </c>
      <c r="E1943" s="409" t="s">
        <v>6044</v>
      </c>
      <c r="F1943" s="409" t="s">
        <v>6045</v>
      </c>
      <c r="G1943" s="409" t="s">
        <v>68</v>
      </c>
      <c r="H1943" s="465" t="e">
        <v>#N/A</v>
      </c>
      <c r="I1943" s="465" t="e">
        <v>#N/A</v>
      </c>
      <c r="J1943" s="465" t="e">
        <v>#N/A</v>
      </c>
      <c r="K1943" s="465" t="e">
        <v>#N/A</v>
      </c>
      <c r="L1943" s="464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Výztuha dverí max. 2250mm čierna</v>
      </c>
      <c r="C1944" s="185">
        <f t="shared" si="61"/>
        <v>7.7589699999999997</v>
      </c>
      <c r="D1944" s="409" t="s">
        <v>8292</v>
      </c>
      <c r="E1944" s="409" t="s">
        <v>8293</v>
      </c>
      <c r="F1944" s="409" t="s">
        <v>8294</v>
      </c>
      <c r="G1944" s="409" t="s">
        <v>8295</v>
      </c>
      <c r="H1944" s="465">
        <v>218.75585000000001</v>
      </c>
      <c r="I1944" s="465">
        <v>7.7589699999999997</v>
      </c>
      <c r="J1944" s="465">
        <v>36.19802</v>
      </c>
      <c r="K1944" s="465">
        <v>3345.82078</v>
      </c>
      <c r="L1944" s="464" t="s">
        <v>695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Výstuha dverí max. 2250mm biela</v>
      </c>
      <c r="C1945" s="185">
        <f t="shared" si="61"/>
        <v>7.7589699999999997</v>
      </c>
      <c r="D1945" s="409" t="s">
        <v>8296</v>
      </c>
      <c r="E1945" s="409" t="s">
        <v>8297</v>
      </c>
      <c r="F1945" s="409" t="s">
        <v>8298</v>
      </c>
      <c r="G1945" s="409" t="s">
        <v>8299</v>
      </c>
      <c r="H1945" s="465">
        <v>218.75585000000001</v>
      </c>
      <c r="I1945" s="465">
        <v>7.7589699999999997</v>
      </c>
      <c r="J1945" s="465">
        <v>36.19802</v>
      </c>
      <c r="K1945" s="465">
        <v>3345.82078</v>
      </c>
      <c r="L1945" s="464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9" t="e">
        <v>#N/A</v>
      </c>
      <c r="E1946" s="409" t="e">
        <v>#N/A</v>
      </c>
      <c r="F1946" s="409" t="e">
        <v>#N/A</v>
      </c>
      <c r="G1946" s="409" t="e">
        <v>#N/A</v>
      </c>
      <c r="H1946" s="465" t="e">
        <v>#N/A</v>
      </c>
      <c r="I1946" s="465" t="e">
        <v>#N/A</v>
      </c>
      <c r="J1946" s="465" t="e">
        <v>#N/A</v>
      </c>
      <c r="K1946" s="465" t="e">
        <v>#N/A</v>
      </c>
      <c r="L1946" s="464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9" t="e">
        <v>#N/A</v>
      </c>
      <c r="E1947" s="409" t="e">
        <v>#N/A</v>
      </c>
      <c r="F1947" s="409" t="e">
        <v>#N/A</v>
      </c>
      <c r="G1947" s="409" t="e">
        <v>#N/A</v>
      </c>
      <c r="H1947" s="465" t="e">
        <v>#N/A</v>
      </c>
      <c r="I1947" s="465" t="e">
        <v>#N/A</v>
      </c>
      <c r="J1947" s="465" t="e">
        <v>#N/A</v>
      </c>
      <c r="K1947" s="465" t="e">
        <v>#N/A</v>
      </c>
      <c r="L1947" s="464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9" t="e">
        <v>#N/A</v>
      </c>
      <c r="E1948" s="409" t="e">
        <v>#N/A</v>
      </c>
      <c r="F1948" s="409" t="e">
        <v>#N/A</v>
      </c>
      <c r="G1948" s="409" t="e">
        <v>#N/A</v>
      </c>
      <c r="H1948" s="465" t="e">
        <v>#N/A</v>
      </c>
      <c r="I1948" s="465" t="e">
        <v>#N/A</v>
      </c>
      <c r="J1948" s="465" t="e">
        <v>#N/A</v>
      </c>
      <c r="K1948" s="465" t="e">
        <v>#N/A</v>
      </c>
      <c r="L1948" s="464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9" t="e">
        <v>#N/A</v>
      </c>
      <c r="E1949" s="409" t="e">
        <v>#N/A</v>
      </c>
      <c r="F1949" s="409" t="e">
        <v>#N/A</v>
      </c>
      <c r="G1949" s="409" t="e">
        <v>#N/A</v>
      </c>
      <c r="H1949" s="465" t="e">
        <v>#N/A</v>
      </c>
      <c r="I1949" s="465" t="e">
        <v>#N/A</v>
      </c>
      <c r="J1949" s="465" t="e">
        <v>#N/A</v>
      </c>
      <c r="K1949" s="465" t="e">
        <v>#N/A</v>
      </c>
      <c r="L1949" s="464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/>
      </c>
      <c r="C1950" s="185">
        <f t="shared" si="61"/>
        <v>0</v>
      </c>
      <c r="D1950" s="409" t="s">
        <v>1540</v>
      </c>
      <c r="E1950" s="409" t="s">
        <v>1968</v>
      </c>
      <c r="F1950" s="409" t="s">
        <v>68</v>
      </c>
      <c r="G1950" s="409" t="s">
        <v>2478</v>
      </c>
      <c r="H1950" s="465">
        <v>0</v>
      </c>
      <c r="I1950" s="465">
        <v>0</v>
      </c>
      <c r="J1950" s="465">
        <v>0</v>
      </c>
      <c r="K1950" s="465">
        <v>0</v>
      </c>
      <c r="L1950" s="464" t="s">
        <v>540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tlmič</v>
      </c>
      <c r="C1951" s="185">
        <f t="shared" si="61"/>
        <v>0</v>
      </c>
      <c r="D1951" s="409" t="s">
        <v>8300</v>
      </c>
      <c r="E1951" s="409" t="s">
        <v>8301</v>
      </c>
      <c r="F1951" s="409" t="s">
        <v>8302</v>
      </c>
      <c r="G1951" s="409" t="s">
        <v>8303</v>
      </c>
      <c r="H1951" s="465">
        <v>0</v>
      </c>
      <c r="I1951" s="465">
        <v>0</v>
      </c>
      <c r="J1951" s="465">
        <v>0</v>
      </c>
      <c r="K1951" s="465">
        <v>0</v>
      </c>
      <c r="L1951" s="464" t="s">
        <v>540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9" t="e">
        <v>#N/A</v>
      </c>
      <c r="E1952" s="409" t="e">
        <v>#N/A</v>
      </c>
      <c r="F1952" s="409" t="e">
        <v>#N/A</v>
      </c>
      <c r="G1952" s="409" t="e">
        <v>#N/A</v>
      </c>
      <c r="H1952" s="465" t="e">
        <v>#N/A</v>
      </c>
      <c r="I1952" s="465" t="e">
        <v>#N/A</v>
      </c>
      <c r="J1952" s="465" t="e">
        <v>#N/A</v>
      </c>
      <c r="K1952" s="465" t="e">
        <v>#N/A</v>
      </c>
      <c r="L1952" s="464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9" t="e">
        <v>#N/A</v>
      </c>
      <c r="E1953" s="409" t="e">
        <v>#N/A</v>
      </c>
      <c r="F1953" s="409" t="e">
        <v>#N/A</v>
      </c>
      <c r="G1953" s="409" t="e">
        <v>#N/A</v>
      </c>
      <c r="H1953" s="465" t="e">
        <v>#N/A</v>
      </c>
      <c r="I1953" s="465" t="e">
        <v>#N/A</v>
      </c>
      <c r="J1953" s="465" t="e">
        <v>#N/A</v>
      </c>
      <c r="K1953" s="465" t="e">
        <v>#N/A</v>
      </c>
      <c r="L1953" s="464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9" t="e">
        <v>#N/A</v>
      </c>
      <c r="E1954" s="409" t="e">
        <v>#N/A</v>
      </c>
      <c r="F1954" s="409" t="e">
        <v>#N/A</v>
      </c>
      <c r="G1954" s="409" t="e">
        <v>#N/A</v>
      </c>
      <c r="H1954" s="465" t="e">
        <v>#N/A</v>
      </c>
      <c r="I1954" s="465" t="e">
        <v>#N/A</v>
      </c>
      <c r="J1954" s="465" t="e">
        <v>#N/A</v>
      </c>
      <c r="K1954" s="465" t="e">
        <v>#N/A</v>
      </c>
      <c r="L1954" s="464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9" t="e">
        <v>#N/A</v>
      </c>
      <c r="E1955" s="409" t="e">
        <v>#N/A</v>
      </c>
      <c r="F1955" s="409" t="e">
        <v>#N/A</v>
      </c>
      <c r="G1955" s="409" t="e">
        <v>#N/A</v>
      </c>
      <c r="H1955" s="465" t="e">
        <v>#N/A</v>
      </c>
      <c r="I1955" s="465" t="e">
        <v>#N/A</v>
      </c>
      <c r="J1955" s="465" t="e">
        <v>#N/A</v>
      </c>
      <c r="K1955" s="465" t="e">
        <v>#N/A</v>
      </c>
      <c r="L1955" s="464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9" t="e">
        <v>#N/A</v>
      </c>
      <c r="E1956" s="409" t="e">
        <v>#N/A</v>
      </c>
      <c r="F1956" s="409" t="e">
        <v>#N/A</v>
      </c>
      <c r="G1956" s="409" t="e">
        <v>#N/A</v>
      </c>
      <c r="H1956" s="465" t="e">
        <v>#N/A</v>
      </c>
      <c r="I1956" s="465" t="e">
        <v>#N/A</v>
      </c>
      <c r="J1956" s="465" t="e">
        <v>#N/A</v>
      </c>
      <c r="K1956" s="465" t="e">
        <v>#N/A</v>
      </c>
      <c r="L1956" s="464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9" t="e">
        <v>#N/A</v>
      </c>
      <c r="E1957" s="409" t="e">
        <v>#N/A</v>
      </c>
      <c r="F1957" s="409" t="e">
        <v>#N/A</v>
      </c>
      <c r="G1957" s="409" t="e">
        <v>#N/A</v>
      </c>
      <c r="H1957" s="465" t="e">
        <v>#N/A</v>
      </c>
      <c r="I1957" s="465" t="e">
        <v>#N/A</v>
      </c>
      <c r="J1957" s="465" t="e">
        <v>#N/A</v>
      </c>
      <c r="K1957" s="465" t="e">
        <v>#N/A</v>
      </c>
      <c r="L1957" s="464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9" t="e">
        <v>#N/A</v>
      </c>
      <c r="E1958" s="409" t="e">
        <v>#N/A</v>
      </c>
      <c r="F1958" s="409" t="e">
        <v>#N/A</v>
      </c>
      <c r="G1958" s="409" t="e">
        <v>#N/A</v>
      </c>
      <c r="H1958" s="465" t="e">
        <v>#N/A</v>
      </c>
      <c r="I1958" s="465" t="e">
        <v>#N/A</v>
      </c>
      <c r="J1958" s="465" t="e">
        <v>#N/A</v>
      </c>
      <c r="K1958" s="465" t="e">
        <v>#N/A</v>
      </c>
      <c r="L1958" s="464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uholník Mini 17x11mm 3m čierna mat</v>
      </c>
      <c r="C1959" s="185">
        <f t="shared" si="61"/>
        <v>5.6208799999999997</v>
      </c>
      <c r="D1959" s="409" t="s">
        <v>6046</v>
      </c>
      <c r="E1959" s="409" t="s">
        <v>6047</v>
      </c>
      <c r="F1959" s="409" t="s">
        <v>6048</v>
      </c>
      <c r="G1959" s="409" t="s">
        <v>6049</v>
      </c>
      <c r="H1959" s="465">
        <v>156.32956999999999</v>
      </c>
      <c r="I1959" s="465">
        <v>5.6208799999999997</v>
      </c>
      <c r="J1959" s="465">
        <v>21.583200000000001</v>
      </c>
      <c r="K1959" s="465">
        <v>2240.27646</v>
      </c>
      <c r="L1959" s="464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horné vedenie 3m čierna mat</v>
      </c>
      <c r="C1960" s="185">
        <f t="shared" si="61"/>
        <v>32.476199999999999</v>
      </c>
      <c r="D1960" s="409" t="s">
        <v>1541</v>
      </c>
      <c r="E1960" s="409" t="s">
        <v>1969</v>
      </c>
      <c r="F1960" s="409" t="s">
        <v>6050</v>
      </c>
      <c r="G1960" s="409" t="s">
        <v>6051</v>
      </c>
      <c r="H1960" s="465">
        <v>903.23748000000001</v>
      </c>
      <c r="I1960" s="465">
        <v>32.476199999999999</v>
      </c>
      <c r="J1960" s="465">
        <v>131.79419999999999</v>
      </c>
      <c r="K1960" s="465">
        <v>12943.81868</v>
      </c>
      <c r="L1960" s="464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spodné vedenie 3m čierna mat</v>
      </c>
      <c r="C1961" s="185">
        <f t="shared" si="61"/>
        <v>18.94445</v>
      </c>
      <c r="D1961" s="409" t="s">
        <v>1542</v>
      </c>
      <c r="E1961" s="409" t="s">
        <v>1970</v>
      </c>
      <c r="F1961" s="409" t="s">
        <v>6052</v>
      </c>
      <c r="G1961" s="409" t="s">
        <v>6053</v>
      </c>
      <c r="H1961" s="465">
        <v>526.88854000000003</v>
      </c>
      <c r="I1961" s="465">
        <v>18.94445</v>
      </c>
      <c r="J1961" s="465">
        <v>71.808000000000007</v>
      </c>
      <c r="K1961" s="465">
        <v>7550.5609299999996</v>
      </c>
      <c r="L1961" s="464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9" t="e">
        <v>#N/A</v>
      </c>
      <c r="E1962" s="409" t="e">
        <v>#N/A</v>
      </c>
      <c r="F1962" s="409" t="e">
        <v>#N/A</v>
      </c>
      <c r="G1962" s="409" t="e">
        <v>#N/A</v>
      </c>
      <c r="H1962" s="465" t="e">
        <v>#N/A</v>
      </c>
      <c r="I1962" s="465" t="e">
        <v>#N/A</v>
      </c>
      <c r="J1962" s="465" t="e">
        <v>#N/A</v>
      </c>
      <c r="K1962" s="465" t="e">
        <v>#N/A</v>
      </c>
      <c r="L1962" s="464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 S22 2,7m strieborná</v>
      </c>
      <c r="C1963" s="185">
        <f t="shared" si="61"/>
        <v>25.828569999999999</v>
      </c>
      <c r="D1963" s="409" t="s">
        <v>8304</v>
      </c>
      <c r="E1963" s="409" t="s">
        <v>8305</v>
      </c>
      <c r="F1963" s="409" t="s">
        <v>8306</v>
      </c>
      <c r="G1963" s="409" t="s">
        <v>8307</v>
      </c>
      <c r="H1963" s="465">
        <v>676.96492999999998</v>
      </c>
      <c r="I1963" s="465">
        <v>25.828569999999999</v>
      </c>
      <c r="J1963" s="465">
        <v>129.32364999999999</v>
      </c>
      <c r="K1963" s="465">
        <v>10567.74195</v>
      </c>
      <c r="L1963" s="464" t="s">
        <v>537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horná a stredová priečka 2,5m strieborná</v>
      </c>
      <c r="C1964" s="185">
        <f t="shared" si="61"/>
        <v>0</v>
      </c>
      <c r="D1964" s="409" t="s">
        <v>8308</v>
      </c>
      <c r="E1964" s="409" t="s">
        <v>8309</v>
      </c>
      <c r="F1964" s="409" t="s">
        <v>8310</v>
      </c>
      <c r="G1964" s="409" t="s">
        <v>68</v>
      </c>
      <c r="H1964" s="465">
        <v>0</v>
      </c>
      <c r="I1964" s="465">
        <v>0</v>
      </c>
      <c r="J1964" s="465">
        <v>0</v>
      </c>
      <c r="K1964" s="465">
        <v>0</v>
      </c>
      <c r="L1964" s="464" t="s">
        <v>540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dolná priečka 2,5m strieborná</v>
      </c>
      <c r="C1965" s="185">
        <f t="shared" si="61"/>
        <v>0</v>
      </c>
      <c r="D1965" s="409" t="s">
        <v>8311</v>
      </c>
      <c r="E1965" s="409" t="s">
        <v>8154</v>
      </c>
      <c r="F1965" s="409" t="s">
        <v>8312</v>
      </c>
      <c r="G1965" s="409" t="s">
        <v>8156</v>
      </c>
      <c r="H1965" s="465">
        <v>0</v>
      </c>
      <c r="I1965" s="465">
        <v>0</v>
      </c>
      <c r="J1965" s="465">
        <v>0</v>
      </c>
      <c r="K1965" s="465">
        <v>0</v>
      </c>
      <c r="L1965" s="464" t="s">
        <v>540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dolný vodiaci profil 2,5m strieborná</v>
      </c>
      <c r="C1966" s="185">
        <f t="shared" si="61"/>
        <v>0</v>
      </c>
      <c r="D1966" s="409" t="s">
        <v>8313</v>
      </c>
      <c r="E1966" s="409" t="s">
        <v>8314</v>
      </c>
      <c r="F1966" s="409" t="s">
        <v>8315</v>
      </c>
      <c r="G1966" s="409" t="s">
        <v>8316</v>
      </c>
      <c r="H1966" s="465">
        <v>0</v>
      </c>
      <c r="I1966" s="465">
        <v>0</v>
      </c>
      <c r="J1966" s="465">
        <v>0</v>
      </c>
      <c r="K1966" s="465">
        <v>0</v>
      </c>
      <c r="L1966" s="464" t="s">
        <v>540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 - sada kovania S90-W1 inox 2,0m</v>
      </c>
      <c r="C1967" s="185">
        <f t="shared" si="61"/>
        <v>236.08161000000001</v>
      </c>
      <c r="D1967" s="409" t="s">
        <v>8317</v>
      </c>
      <c r="E1967" s="409" t="s">
        <v>8318</v>
      </c>
      <c r="F1967" s="409" t="s">
        <v>8319</v>
      </c>
      <c r="G1967" s="409" t="s">
        <v>8320</v>
      </c>
      <c r="H1967" s="465">
        <v>5780.32</v>
      </c>
      <c r="I1967" s="465">
        <v>236.08161000000001</v>
      </c>
      <c r="J1967" s="465">
        <v>1069.0643</v>
      </c>
      <c r="K1967" s="465">
        <v>100223.29032</v>
      </c>
      <c r="L1967" s="464" t="s">
        <v>537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úchytová lišta 18mm 2,7m čierna mat</v>
      </c>
      <c r="C1968" s="185">
        <f t="shared" si="61"/>
        <v>16.44107</v>
      </c>
      <c r="D1968" s="409" t="s">
        <v>1543</v>
      </c>
      <c r="E1968" s="409" t="s">
        <v>1971</v>
      </c>
      <c r="F1968" s="409" t="s">
        <v>6054</v>
      </c>
      <c r="G1968" s="409" t="s">
        <v>2480</v>
      </c>
      <c r="H1968" s="465">
        <v>457.40872000000002</v>
      </c>
      <c r="I1968" s="465">
        <v>16.44107</v>
      </c>
      <c r="J1968" s="465">
        <v>66.463200000000001</v>
      </c>
      <c r="K1968" s="465">
        <v>6554.8824199999999</v>
      </c>
      <c r="L1968" s="464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9" t="e">
        <v>#N/A</v>
      </c>
      <c r="E1969" s="409" t="e">
        <v>#N/A</v>
      </c>
      <c r="F1969" s="409" t="e">
        <v>#N/A</v>
      </c>
      <c r="G1969" s="409" t="e">
        <v>#N/A</v>
      </c>
      <c r="H1969" s="465" t="e">
        <v>#N/A</v>
      </c>
      <c r="I1969" s="465" t="e">
        <v>#N/A</v>
      </c>
      <c r="J1969" s="465" t="e">
        <v>#N/A</v>
      </c>
      <c r="K1969" s="465" t="e">
        <v>#N/A</v>
      </c>
      <c r="L1969" s="464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9" t="e">
        <v>#N/A</v>
      </c>
      <c r="E1970" s="409" t="e">
        <v>#N/A</v>
      </c>
      <c r="F1970" s="409" t="e">
        <v>#N/A</v>
      </c>
      <c r="G1970" s="409" t="e">
        <v>#N/A</v>
      </c>
      <c r="H1970" s="465" t="e">
        <v>#N/A</v>
      </c>
      <c r="I1970" s="465" t="e">
        <v>#N/A</v>
      </c>
      <c r="J1970" s="465" t="e">
        <v>#N/A</v>
      </c>
      <c r="K1970" s="465" t="e">
        <v>#N/A</v>
      </c>
      <c r="L1970" s="464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S-sada kovania S80SC-doplnková</v>
      </c>
      <c r="C1971" s="185">
        <f t="shared" si="61"/>
        <v>0</v>
      </c>
      <c r="D1971" s="409" t="s">
        <v>8321</v>
      </c>
      <c r="E1971" s="409" t="s">
        <v>8322</v>
      </c>
      <c r="F1971" s="409" t="s">
        <v>8323</v>
      </c>
      <c r="G1971" s="409" t="s">
        <v>8324</v>
      </c>
      <c r="H1971" s="465">
        <v>0</v>
      </c>
      <c r="I1971" s="465">
        <v>0</v>
      </c>
      <c r="J1971" s="465">
        <v>0</v>
      </c>
      <c r="K1971" s="465">
        <v>0</v>
      </c>
      <c r="L1971" s="464" t="s">
        <v>540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S-sada kovania S36</v>
      </c>
      <c r="C1972" s="185">
        <f t="shared" si="61"/>
        <v>16.23432</v>
      </c>
      <c r="D1972" s="409" t="s">
        <v>8325</v>
      </c>
      <c r="E1972" s="409" t="s">
        <v>8326</v>
      </c>
      <c r="F1972" s="409" t="s">
        <v>8327</v>
      </c>
      <c r="G1972" s="409" t="s">
        <v>8328</v>
      </c>
      <c r="H1972" s="465">
        <v>397.488</v>
      </c>
      <c r="I1972" s="465">
        <v>16.23432</v>
      </c>
      <c r="J1972" s="465">
        <v>73.515000000000001</v>
      </c>
      <c r="K1972" s="465">
        <v>6891.92904</v>
      </c>
      <c r="L1972" s="464" t="s">
        <v>537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Linea šatná tyč oválná 3m strieborná</v>
      </c>
      <c r="C1973" s="185">
        <f t="shared" si="61"/>
        <v>14.59868</v>
      </c>
      <c r="D1973" s="409" t="s">
        <v>1544</v>
      </c>
      <c r="E1973" s="409" t="s">
        <v>1972</v>
      </c>
      <c r="F1973" s="409" t="s">
        <v>2183</v>
      </c>
      <c r="G1973" s="409" t="s">
        <v>2481</v>
      </c>
      <c r="H1973" s="465">
        <v>406.02260999999999</v>
      </c>
      <c r="I1973" s="465">
        <v>14.59868</v>
      </c>
      <c r="J1973" s="465">
        <v>50.887799999999999</v>
      </c>
      <c r="K1973" s="465">
        <v>5818.4953400000004</v>
      </c>
      <c r="L1973" s="464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Linea spojovací element rohový</v>
      </c>
      <c r="C1974" s="185">
        <f t="shared" si="61"/>
        <v>1.3011299999999999</v>
      </c>
      <c r="D1974" s="409" t="s">
        <v>3274</v>
      </c>
      <c r="E1974" s="409" t="s">
        <v>1973</v>
      </c>
      <c r="F1974" s="409" t="s">
        <v>1545</v>
      </c>
      <c r="G1974" s="409" t="s">
        <v>2482</v>
      </c>
      <c r="H1974" s="465">
        <v>36.187399999999997</v>
      </c>
      <c r="I1974" s="465">
        <v>1.3011299999999999</v>
      </c>
      <c r="J1974" s="465">
        <v>4.5084</v>
      </c>
      <c r="K1974" s="465">
        <v>518.58248000000003</v>
      </c>
      <c r="L1974" s="464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Linea upevňovací element stenový</v>
      </c>
      <c r="C1975" s="185">
        <f t="shared" si="61"/>
        <v>1.11897</v>
      </c>
      <c r="D1975" s="409" t="s">
        <v>1546</v>
      </c>
      <c r="E1975" s="409" t="s">
        <v>1974</v>
      </c>
      <c r="F1975" s="409" t="s">
        <v>2184</v>
      </c>
      <c r="G1975" s="409" t="s">
        <v>2483</v>
      </c>
      <c r="H1975" s="465">
        <v>31.12115</v>
      </c>
      <c r="I1975" s="465">
        <v>1.11897</v>
      </c>
      <c r="J1975" s="465">
        <v>3.9066000000000001</v>
      </c>
      <c r="K1975" s="465">
        <v>445.98079999999999</v>
      </c>
      <c r="L1975" s="464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Linea nožka s regulaciou</v>
      </c>
      <c r="C1976" s="185">
        <f t="shared" si="61"/>
        <v>2.8624900000000002</v>
      </c>
      <c r="D1976" s="409" t="s">
        <v>1547</v>
      </c>
      <c r="E1976" s="409" t="s">
        <v>1975</v>
      </c>
      <c r="F1976" s="409" t="s">
        <v>2185</v>
      </c>
      <c r="G1976" s="409" t="s">
        <v>2484</v>
      </c>
      <c r="H1976" s="465">
        <v>79.612279999999998</v>
      </c>
      <c r="I1976" s="465">
        <v>2.8624900000000002</v>
      </c>
      <c r="J1976" s="465">
        <v>9.9857999999999993</v>
      </c>
      <c r="K1976" s="465">
        <v>1140.8814400000001</v>
      </c>
      <c r="L1976" s="464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Linea šatná tyč guľatá 3m strieborná</v>
      </c>
      <c r="C1977" s="185">
        <f t="shared" si="61"/>
        <v>9.4461999999999993</v>
      </c>
      <c r="D1977" s="409" t="s">
        <v>1548</v>
      </c>
      <c r="E1977" s="409" t="s">
        <v>1976</v>
      </c>
      <c r="F1977" s="409" t="s">
        <v>2186</v>
      </c>
      <c r="G1977" s="409" t="s">
        <v>2485</v>
      </c>
      <c r="H1977" s="465">
        <v>262.72050999999999</v>
      </c>
      <c r="I1977" s="465">
        <v>9.4461999999999993</v>
      </c>
      <c r="J1977" s="465">
        <v>32.4831</v>
      </c>
      <c r="K1977" s="465">
        <v>3764.9086600000001</v>
      </c>
      <c r="L1977" s="464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Linea šatná tyč guľatá 4m strieborná</v>
      </c>
      <c r="C1978" s="185">
        <f t="shared" si="61"/>
        <v>0</v>
      </c>
      <c r="D1978" s="409" t="s">
        <v>1549</v>
      </c>
      <c r="E1978" s="409" t="s">
        <v>1977</v>
      </c>
      <c r="F1978" s="409" t="s">
        <v>2187</v>
      </c>
      <c r="G1978" s="409" t="s">
        <v>2486</v>
      </c>
      <c r="H1978" s="465">
        <v>0</v>
      </c>
      <c r="I1978" s="465">
        <v>0</v>
      </c>
      <c r="J1978" s="465">
        <v>0</v>
      </c>
      <c r="K1978" s="465">
        <v>0</v>
      </c>
      <c r="L1978" s="464" t="s">
        <v>540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Linea základný nosník 3m strieborná</v>
      </c>
      <c r="C1979" s="185">
        <f t="shared" si="61"/>
        <v>34.141649999999998</v>
      </c>
      <c r="D1979" s="409" t="s">
        <v>1550</v>
      </c>
      <c r="E1979" s="409" t="s">
        <v>1978</v>
      </c>
      <c r="F1979" s="409" t="s">
        <v>2188</v>
      </c>
      <c r="G1979" s="409" t="s">
        <v>6055</v>
      </c>
      <c r="H1979" s="465">
        <v>949.55733999999995</v>
      </c>
      <c r="I1979" s="465">
        <v>34.141649999999998</v>
      </c>
      <c r="J1979" s="465">
        <v>117.40448000000001</v>
      </c>
      <c r="K1979" s="465">
        <v>13607.604079999999</v>
      </c>
      <c r="L1979" s="464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Linea držiak oválnej tyče do nosníku</v>
      </c>
      <c r="C1980" s="185">
        <f t="shared" si="61"/>
        <v>1.5093099999999999</v>
      </c>
      <c r="D1980" s="409" t="s">
        <v>1551</v>
      </c>
      <c r="E1980" s="409" t="s">
        <v>1979</v>
      </c>
      <c r="F1980" s="409" t="s">
        <v>2189</v>
      </c>
      <c r="G1980" s="409" t="s">
        <v>2487</v>
      </c>
      <c r="H1980" s="465">
        <v>41.97739</v>
      </c>
      <c r="I1980" s="465">
        <v>1.5093099999999999</v>
      </c>
      <c r="J1980" s="465">
        <v>5.1901400000000004</v>
      </c>
      <c r="K1980" s="465">
        <v>601.55574999999999</v>
      </c>
      <c r="L1980" s="464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Linea držiak police</v>
      </c>
      <c r="C1981" s="185">
        <f t="shared" si="61"/>
        <v>2.7844199999999999</v>
      </c>
      <c r="D1981" s="409" t="s">
        <v>1552</v>
      </c>
      <c r="E1981" s="409" t="s">
        <v>1980</v>
      </c>
      <c r="F1981" s="409" t="s">
        <v>2190</v>
      </c>
      <c r="G1981" s="409" t="s">
        <v>2488</v>
      </c>
      <c r="H1981" s="465">
        <v>77.441040000000001</v>
      </c>
      <c r="I1981" s="465">
        <v>2.7844199999999999</v>
      </c>
      <c r="J1981" s="465">
        <v>9.5749200000000005</v>
      </c>
      <c r="K1981" s="465">
        <v>1109.7666300000001</v>
      </c>
      <c r="L1981" s="464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Linea držák police na boty</v>
      </c>
      <c r="C1982" s="185">
        <f t="shared" si="61"/>
        <v>3.4349799999999999</v>
      </c>
      <c r="D1982" s="409" t="s">
        <v>1553</v>
      </c>
      <c r="E1982" s="409" t="s">
        <v>1981</v>
      </c>
      <c r="F1982" s="409" t="s">
        <v>2191</v>
      </c>
      <c r="G1982" s="409" t="s">
        <v>2489</v>
      </c>
      <c r="H1982" s="465">
        <v>95.534729999999996</v>
      </c>
      <c r="I1982" s="465">
        <v>3.4349799999999999</v>
      </c>
      <c r="J1982" s="465">
        <v>11.81203</v>
      </c>
      <c r="K1982" s="465">
        <v>1369.0576699999999</v>
      </c>
      <c r="L1982" s="464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Linea záslepka kulaté šatní tyče</v>
      </c>
      <c r="C1983" s="185">
        <f t="shared" si="61"/>
        <v>0.33828999999999998</v>
      </c>
      <c r="D1983" s="409" t="s">
        <v>1554</v>
      </c>
      <c r="E1983" s="409" t="s">
        <v>1982</v>
      </c>
      <c r="F1983" s="409" t="s">
        <v>2192</v>
      </c>
      <c r="G1983" s="409" t="s">
        <v>2490</v>
      </c>
      <c r="H1983" s="465">
        <v>9.9840699999999991</v>
      </c>
      <c r="I1983" s="465">
        <v>0.33828999999999998</v>
      </c>
      <c r="J1983" s="465">
        <v>1.1832</v>
      </c>
      <c r="K1983" s="465">
        <v>138.65244999999999</v>
      </c>
      <c r="L1983" s="464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Linea záslepka nosníku</v>
      </c>
      <c r="C1984" s="185">
        <f t="shared" si="61"/>
        <v>1.35318</v>
      </c>
      <c r="D1984" s="409" t="s">
        <v>1555</v>
      </c>
      <c r="E1984" s="409" t="s">
        <v>1983</v>
      </c>
      <c r="F1984" s="409" t="s">
        <v>2193</v>
      </c>
      <c r="G1984" s="409" t="s">
        <v>6056</v>
      </c>
      <c r="H1984" s="465">
        <v>39.936300000000003</v>
      </c>
      <c r="I1984" s="465">
        <v>1.35318</v>
      </c>
      <c r="J1984" s="465">
        <v>4.6104000000000003</v>
      </c>
      <c r="K1984" s="465">
        <v>554.61022000000003</v>
      </c>
      <c r="L1984" s="464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Linea sada 8 ks upevňovacích uholníkov</v>
      </c>
      <c r="C1985" s="185">
        <f t="shared" si="61"/>
        <v>20.141490000000001</v>
      </c>
      <c r="D1985" s="409" t="s">
        <v>1556</v>
      </c>
      <c r="E1985" s="409" t="s">
        <v>1984</v>
      </c>
      <c r="F1985" s="409" t="s">
        <v>2194</v>
      </c>
      <c r="G1985" s="409" t="s">
        <v>6057</v>
      </c>
      <c r="H1985" s="465">
        <v>560.18092999999999</v>
      </c>
      <c r="I1985" s="465">
        <v>20.141490000000001</v>
      </c>
      <c r="J1985" s="465">
        <v>69.261480000000006</v>
      </c>
      <c r="K1985" s="465">
        <v>8027.6565700000001</v>
      </c>
      <c r="L1985" s="464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9" t="e">
        <v>#N/A</v>
      </c>
      <c r="E1986" s="409" t="e">
        <v>#N/A</v>
      </c>
      <c r="F1986" s="409" t="e">
        <v>#N/A</v>
      </c>
      <c r="G1986" s="409" t="e">
        <v>#N/A</v>
      </c>
      <c r="H1986" s="465" t="e">
        <v>#N/A</v>
      </c>
      <c r="I1986" s="465" t="e">
        <v>#N/A</v>
      </c>
      <c r="J1986" s="465" t="e">
        <v>#N/A</v>
      </c>
      <c r="K1986" s="465" t="e">
        <v>#N/A</v>
      </c>
      <c r="L1986" s="464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9" t="e">
        <v>#N/A</v>
      </c>
      <c r="E1987" s="409" t="e">
        <v>#N/A</v>
      </c>
      <c r="F1987" s="409" t="e">
        <v>#N/A</v>
      </c>
      <c r="G1987" s="409" t="e">
        <v>#N/A</v>
      </c>
      <c r="H1987" s="465" t="e">
        <v>#N/A</v>
      </c>
      <c r="I1987" s="465" t="e">
        <v>#N/A</v>
      </c>
      <c r="J1987" s="465" t="e">
        <v>#N/A</v>
      </c>
      <c r="K1987" s="465" t="e">
        <v>#N/A</v>
      </c>
      <c r="L1987" s="464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9" t="e">
        <v>#N/A</v>
      </c>
      <c r="E1988" s="409" t="e">
        <v>#N/A</v>
      </c>
      <c r="F1988" s="409" t="e">
        <v>#N/A</v>
      </c>
      <c r="G1988" s="409" t="e">
        <v>#N/A</v>
      </c>
      <c r="H1988" s="465" t="e">
        <v>#N/A</v>
      </c>
      <c r="I1988" s="465" t="e">
        <v>#N/A</v>
      </c>
      <c r="J1988" s="465" t="e">
        <v>#N/A</v>
      </c>
      <c r="K1988" s="465" t="e">
        <v>#N/A</v>
      </c>
      <c r="L1988" s="464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9" t="e">
        <v>#N/A</v>
      </c>
      <c r="E1989" s="409" t="e">
        <v>#N/A</v>
      </c>
      <c r="F1989" s="409" t="e">
        <v>#N/A</v>
      </c>
      <c r="G1989" s="409" t="e">
        <v>#N/A</v>
      </c>
      <c r="H1989" s="465" t="e">
        <v>#N/A</v>
      </c>
      <c r="I1989" s="465" t="e">
        <v>#N/A</v>
      </c>
      <c r="J1989" s="465" t="e">
        <v>#N/A</v>
      </c>
      <c r="K1989" s="465" t="e">
        <v>#N/A</v>
      </c>
      <c r="L1989" s="464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9" t="e">
        <v>#N/A</v>
      </c>
      <c r="E1990" s="409" t="e">
        <v>#N/A</v>
      </c>
      <c r="F1990" s="409" t="e">
        <v>#N/A</v>
      </c>
      <c r="G1990" s="409" t="e">
        <v>#N/A</v>
      </c>
      <c r="H1990" s="465" t="e">
        <v>#N/A</v>
      </c>
      <c r="I1990" s="465" t="e">
        <v>#N/A</v>
      </c>
      <c r="J1990" s="465" t="e">
        <v>#N/A</v>
      </c>
      <c r="K1990" s="465" t="e">
        <v>#N/A</v>
      </c>
      <c r="L1990" s="464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9" t="e">
        <v>#N/A</v>
      </c>
      <c r="E1991" s="409" t="e">
        <v>#N/A</v>
      </c>
      <c r="F1991" s="409" t="e">
        <v>#N/A</v>
      </c>
      <c r="G1991" s="409" t="e">
        <v>#N/A</v>
      </c>
      <c r="H1991" s="465" t="e">
        <v>#N/A</v>
      </c>
      <c r="I1991" s="465" t="e">
        <v>#N/A</v>
      </c>
      <c r="J1991" s="465" t="e">
        <v>#N/A</v>
      </c>
      <c r="K1991" s="465" t="e">
        <v>#N/A</v>
      </c>
      <c r="L1991" s="464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S-S05-1-horný vod.profil jednod. 3m str.</v>
      </c>
      <c r="C1992" s="185">
        <f t="shared" si="63"/>
        <v>0</v>
      </c>
      <c r="D1992" s="409" t="s">
        <v>8329</v>
      </c>
      <c r="E1992" s="409" t="s">
        <v>8330</v>
      </c>
      <c r="F1992" s="409" t="s">
        <v>8331</v>
      </c>
      <c r="G1992" s="409" t="s">
        <v>68</v>
      </c>
      <c r="H1992" s="465">
        <v>0</v>
      </c>
      <c r="I1992" s="465">
        <v>0</v>
      </c>
      <c r="J1992" s="465">
        <v>0</v>
      </c>
      <c r="K1992" s="465">
        <v>0</v>
      </c>
      <c r="L1992" s="464" t="s">
        <v>540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horná a stredová priečka 3m strieborná</v>
      </c>
      <c r="C1993" s="185">
        <f t="shared" si="63"/>
        <v>0</v>
      </c>
      <c r="D1993" s="409" t="s">
        <v>8332</v>
      </c>
      <c r="E1993" s="409" t="s">
        <v>8333</v>
      </c>
      <c r="F1993" s="409" t="s">
        <v>8334</v>
      </c>
      <c r="G1993" s="409" t="s">
        <v>68</v>
      </c>
      <c r="H1993" s="465">
        <v>0</v>
      </c>
      <c r="I1993" s="465">
        <v>0</v>
      </c>
      <c r="J1993" s="465">
        <v>0</v>
      </c>
      <c r="K1993" s="465">
        <v>0</v>
      </c>
      <c r="L1993" s="464" t="s">
        <v>540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9" t="e">
        <v>#N/A</v>
      </c>
      <c r="E1994" s="409" t="e">
        <v>#N/A</v>
      </c>
      <c r="F1994" s="409" t="e">
        <v>#N/A</v>
      </c>
      <c r="G1994" s="409" t="e">
        <v>#N/A</v>
      </c>
      <c r="H1994" s="465" t="e">
        <v>#N/A</v>
      </c>
      <c r="I1994" s="465" t="e">
        <v>#N/A</v>
      </c>
      <c r="J1994" s="465" t="e">
        <v>#N/A</v>
      </c>
      <c r="K1994" s="465" t="e">
        <v>#N/A</v>
      </c>
      <c r="L1994" s="464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9" t="e">
        <v>#N/A</v>
      </c>
      <c r="E1995" s="409" t="e">
        <v>#N/A</v>
      </c>
      <c r="F1995" s="409" t="e">
        <v>#N/A</v>
      </c>
      <c r="G1995" s="409" t="e">
        <v>#N/A</v>
      </c>
      <c r="H1995" s="465" t="e">
        <v>#N/A</v>
      </c>
      <c r="I1995" s="465" t="e">
        <v>#N/A</v>
      </c>
      <c r="J1995" s="465" t="e">
        <v>#N/A</v>
      </c>
      <c r="K1995" s="465" t="e">
        <v>#N/A</v>
      </c>
      <c r="L1995" s="464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/>
      </c>
      <c r="C1996" s="185">
        <f t="shared" si="63"/>
        <v>23.634450000000001</v>
      </c>
      <c r="D1996" s="409" t="s">
        <v>8335</v>
      </c>
      <c r="E1996" s="409" t="s">
        <v>68</v>
      </c>
      <c r="F1996" s="409" t="s">
        <v>68</v>
      </c>
      <c r="G1996" s="409" t="s">
        <v>8336</v>
      </c>
      <c r="H1996" s="465">
        <v>616.10609999999997</v>
      </c>
      <c r="I1996" s="465">
        <v>23.634450000000001</v>
      </c>
      <c r="J1996" s="465">
        <v>109.75078000000001</v>
      </c>
      <c r="K1996" s="465">
        <v>9413.2169300000005</v>
      </c>
      <c r="L1996" s="464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9" t="e">
        <v>#N/A</v>
      </c>
      <c r="E1997" s="409" t="e">
        <v>#N/A</v>
      </c>
      <c r="F1997" s="409" t="e">
        <v>#N/A</v>
      </c>
      <c r="G1997" s="409" t="e">
        <v>#N/A</v>
      </c>
      <c r="H1997" s="465" t="e">
        <v>#N/A</v>
      </c>
      <c r="I1997" s="465" t="e">
        <v>#N/A</v>
      </c>
      <c r="J1997" s="465" t="e">
        <v>#N/A</v>
      </c>
      <c r="K1997" s="465" t="e">
        <v>#N/A</v>
      </c>
      <c r="L1997" s="464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 záves ľavý (skrutky) H70 18 mm</v>
      </c>
      <c r="C1998" s="185">
        <f t="shared" si="63"/>
        <v>25.055099999999999</v>
      </c>
      <c r="D1998" s="409" t="s">
        <v>8337</v>
      </c>
      <c r="E1998" s="409" t="s">
        <v>8338</v>
      </c>
      <c r="F1998" s="409" t="s">
        <v>8339</v>
      </c>
      <c r="G1998" s="409" t="s">
        <v>8340</v>
      </c>
      <c r="H1998" s="465">
        <v>653.13980000000004</v>
      </c>
      <c r="I1998" s="465">
        <v>25.055099999999999</v>
      </c>
      <c r="J1998" s="465">
        <v>116.8086</v>
      </c>
      <c r="K1998" s="465">
        <v>9543.1328099999992</v>
      </c>
      <c r="L1998" s="464" t="s">
        <v>540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Harmony sada kovania pre dvoje dvere</v>
      </c>
      <c r="C1999" s="185">
        <f t="shared" si="63"/>
        <v>1044.8150800000001</v>
      </c>
      <c r="D1999" s="409" t="s">
        <v>1557</v>
      </c>
      <c r="E1999" s="409" t="s">
        <v>1812</v>
      </c>
      <c r="F1999" s="409" t="s">
        <v>2160</v>
      </c>
      <c r="G1999" s="409" t="s">
        <v>2377</v>
      </c>
      <c r="H1999" s="465">
        <v>23191.801090000001</v>
      </c>
      <c r="I1999" s="465">
        <v>1044.8150800000001</v>
      </c>
      <c r="J1999" s="465">
        <v>3531.98792</v>
      </c>
      <c r="K1999" s="465">
        <v>408066.88141999999</v>
      </c>
      <c r="L1999" s="464" t="s">
        <v>539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str">
        <f t="shared" si="62"/>
        <v>SEVROLL Hide N spodné vedenie 3m oliva new</v>
      </c>
      <c r="C2000" s="185" t="e">
        <f t="shared" si="63"/>
        <v>#N/A</v>
      </c>
      <c r="D2000" s="409" t="s">
        <v>1558</v>
      </c>
      <c r="E2000" s="409" t="s">
        <v>1985</v>
      </c>
      <c r="F2000" s="409" t="s">
        <v>2195</v>
      </c>
      <c r="G2000" s="409" t="s">
        <v>2491</v>
      </c>
      <c r="H2000" s="465" t="e">
        <v>#N/A</v>
      </c>
      <c r="I2000" s="465" t="e">
        <v>#N/A</v>
      </c>
      <c r="J2000" s="465" t="e">
        <v>#N/A</v>
      </c>
      <c r="K2000" s="465" t="e">
        <v>#N/A</v>
      </c>
      <c r="L2000" s="464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str">
        <f t="shared" si="62"/>
        <v>SEVROLL Exclusive horné vedenie 1,2m oliva new</v>
      </c>
      <c r="C2001" s="185" t="e">
        <f t="shared" si="63"/>
        <v>#N/A</v>
      </c>
      <c r="D2001" s="409" t="s">
        <v>1559</v>
      </c>
      <c r="E2001" s="409" t="s">
        <v>1986</v>
      </c>
      <c r="F2001" s="409" t="s">
        <v>2196</v>
      </c>
      <c r="G2001" s="409" t="s">
        <v>2492</v>
      </c>
      <c r="H2001" s="465" t="e">
        <v>#N/A</v>
      </c>
      <c r="I2001" s="465" t="e">
        <v>#N/A</v>
      </c>
      <c r="J2001" s="465" t="e">
        <v>#N/A</v>
      </c>
      <c r="K2001" s="465" t="e">
        <v>#N/A</v>
      </c>
      <c r="L2001" s="464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str">
        <f t="shared" si="62"/>
        <v>SEVROLL Hide M spodné vedenie 3m oliva new</v>
      </c>
      <c r="C2002" s="185" t="e">
        <f t="shared" si="63"/>
        <v>#N/A</v>
      </c>
      <c r="D2002" s="409" t="s">
        <v>1560</v>
      </c>
      <c r="E2002" s="409" t="s">
        <v>1987</v>
      </c>
      <c r="F2002" s="409" t="s">
        <v>2197</v>
      </c>
      <c r="G2002" s="409" t="s">
        <v>2493</v>
      </c>
      <c r="H2002" s="465" t="e">
        <v>#N/A</v>
      </c>
      <c r="I2002" s="465" t="e">
        <v>#N/A</v>
      </c>
      <c r="J2002" s="465" t="e">
        <v>#N/A</v>
      </c>
      <c r="K2002" s="465" t="e">
        <v>#N/A</v>
      </c>
      <c r="L2002" s="464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str">
        <f t="shared" si="62"/>
        <v>SEVROLL Exclusive horné vedenie 1,8m oliva new</v>
      </c>
      <c r="C2003" s="185" t="e">
        <f t="shared" si="63"/>
        <v>#N/A</v>
      </c>
      <c r="D2003" s="409" t="s">
        <v>1561</v>
      </c>
      <c r="E2003" s="409" t="s">
        <v>1988</v>
      </c>
      <c r="F2003" s="409" t="s">
        <v>2198</v>
      </c>
      <c r="G2003" s="409" t="s">
        <v>2494</v>
      </c>
      <c r="H2003" s="465" t="e">
        <v>#N/A</v>
      </c>
      <c r="I2003" s="465" t="e">
        <v>#N/A</v>
      </c>
      <c r="J2003" s="465" t="e">
        <v>#N/A</v>
      </c>
      <c r="K2003" s="465" t="e">
        <v>#N/A</v>
      </c>
      <c r="L2003" s="464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str">
        <f t="shared" si="62"/>
        <v>SEVROLL 04534-A Universal 18 úchytová lišta 2,7m oliva new</v>
      </c>
      <c r="C2004" s="185" t="e">
        <f t="shared" si="63"/>
        <v>#N/A</v>
      </c>
      <c r="D2004" s="409" t="s">
        <v>1562</v>
      </c>
      <c r="E2004" s="409" t="s">
        <v>1989</v>
      </c>
      <c r="F2004" s="409" t="s">
        <v>1562</v>
      </c>
      <c r="G2004" s="409" t="s">
        <v>6058</v>
      </c>
      <c r="H2004" s="465" t="e">
        <v>#N/A</v>
      </c>
      <c r="I2004" s="465" t="e">
        <v>#N/A</v>
      </c>
      <c r="J2004" s="465" t="e">
        <v>#N/A</v>
      </c>
      <c r="K2004" s="465" t="e">
        <v>#N/A</v>
      </c>
      <c r="L2004" s="464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str">
        <f t="shared" si="62"/>
        <v>SEVROLL 00901-A First horné/spodné vedenie 1,2m oliva new</v>
      </c>
      <c r="C2005" s="185" t="e">
        <f t="shared" si="63"/>
        <v>#N/A</v>
      </c>
      <c r="D2005" s="409" t="s">
        <v>1563</v>
      </c>
      <c r="E2005" s="409" t="s">
        <v>1990</v>
      </c>
      <c r="F2005" s="409" t="s">
        <v>6059</v>
      </c>
      <c r="G2005" s="409" t="s">
        <v>2495</v>
      </c>
      <c r="H2005" s="465" t="e">
        <v>#N/A</v>
      </c>
      <c r="I2005" s="465" t="e">
        <v>#N/A</v>
      </c>
      <c r="J2005" s="465" t="e">
        <v>#N/A</v>
      </c>
      <c r="K2005" s="465" t="e">
        <v>#N/A</v>
      </c>
      <c r="L2005" s="464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str">
        <f t="shared" si="62"/>
        <v>SEVROLL Gemini-2 úch.lišta 2,7m oliva new</v>
      </c>
      <c r="C2006" s="185" t="e">
        <f t="shared" si="63"/>
        <v>#N/A</v>
      </c>
      <c r="D2006" s="409" t="s">
        <v>1564</v>
      </c>
      <c r="E2006" s="409" t="s">
        <v>1991</v>
      </c>
      <c r="F2006" s="409" t="s">
        <v>2199</v>
      </c>
      <c r="G2006" s="409" t="s">
        <v>2496</v>
      </c>
      <c r="H2006" s="465" t="e">
        <v>#N/A</v>
      </c>
      <c r="I2006" s="465" t="e">
        <v>#N/A</v>
      </c>
      <c r="J2006" s="465" t="e">
        <v>#N/A</v>
      </c>
      <c r="K2006" s="465" t="e">
        <v>#N/A</v>
      </c>
      <c r="L2006" s="464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str">
        <f t="shared" si="62"/>
        <v>SEVROLL System 10 II úch.lišta 2,7m oliva new</v>
      </c>
      <c r="C2007" s="185" t="e">
        <f t="shared" si="63"/>
        <v>#N/A</v>
      </c>
      <c r="D2007" s="409" t="s">
        <v>1565</v>
      </c>
      <c r="E2007" s="409" t="s">
        <v>1992</v>
      </c>
      <c r="F2007" s="409" t="s">
        <v>2200</v>
      </c>
      <c r="G2007" s="409" t="s">
        <v>2497</v>
      </c>
      <c r="H2007" s="465" t="e">
        <v>#N/A</v>
      </c>
      <c r="I2007" s="465" t="e">
        <v>#N/A</v>
      </c>
      <c r="J2007" s="465" t="e">
        <v>#N/A</v>
      </c>
      <c r="K2007" s="465" t="e">
        <v>#N/A</v>
      </c>
      <c r="L2007" s="464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str">
        <f t="shared" si="62"/>
        <v>SEVROLL 04377-A Fox II úchytová lišta 2,7m oliva new</v>
      </c>
      <c r="C2008" s="185" t="e">
        <f t="shared" si="63"/>
        <v>#N/A</v>
      </c>
      <c r="D2008" s="409" t="s">
        <v>1566</v>
      </c>
      <c r="E2008" s="409" t="s">
        <v>1993</v>
      </c>
      <c r="F2008" s="409" t="s">
        <v>1566</v>
      </c>
      <c r="G2008" s="409" t="s">
        <v>2498</v>
      </c>
      <c r="H2008" s="465" t="e">
        <v>#N/A</v>
      </c>
      <c r="I2008" s="465" t="e">
        <v>#N/A</v>
      </c>
      <c r="J2008" s="465" t="e">
        <v>#N/A</v>
      </c>
      <c r="K2008" s="465" t="e">
        <v>#N/A</v>
      </c>
      <c r="L2008" s="464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str">
        <f t="shared" si="62"/>
        <v>SEVROLL Hide N spodné vedenie 6m oliva new</v>
      </c>
      <c r="C2009" s="185" t="e">
        <f t="shared" si="63"/>
        <v>#N/A</v>
      </c>
      <c r="D2009" s="409" t="s">
        <v>1567</v>
      </c>
      <c r="E2009" s="409" t="s">
        <v>1994</v>
      </c>
      <c r="F2009" s="409" t="s">
        <v>2201</v>
      </c>
      <c r="G2009" s="409" t="s">
        <v>2499</v>
      </c>
      <c r="H2009" s="465" t="e">
        <v>#N/A</v>
      </c>
      <c r="I2009" s="465" t="e">
        <v>#N/A</v>
      </c>
      <c r="J2009" s="465" t="e">
        <v>#N/A</v>
      </c>
      <c r="K2009" s="465" t="e">
        <v>#N/A</v>
      </c>
      <c r="L2009" s="464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str">
        <f t="shared" si="62"/>
        <v>SEVROLL 01008-A Gemini horné vedenie 1,7m oliva new</v>
      </c>
      <c r="C2010" s="185" t="e">
        <f t="shared" si="63"/>
        <v>#N/A</v>
      </c>
      <c r="D2010" s="409" t="s">
        <v>1568</v>
      </c>
      <c r="E2010" s="409" t="s">
        <v>1995</v>
      </c>
      <c r="F2010" s="409" t="s">
        <v>6060</v>
      </c>
      <c r="G2010" s="409" t="s">
        <v>2500</v>
      </c>
      <c r="H2010" s="465" t="e">
        <v>#N/A</v>
      </c>
      <c r="I2010" s="465" t="e">
        <v>#N/A</v>
      </c>
      <c r="J2010" s="465" t="e">
        <v>#N/A</v>
      </c>
      <c r="K2010" s="465" t="e">
        <v>#N/A</v>
      </c>
      <c r="L2010" s="464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str">
        <f t="shared" si="62"/>
        <v>SEVROLL 01010-A Gemini horné vedenie 2,35m oliva new</v>
      </c>
      <c r="C2011" s="185" t="e">
        <f t="shared" si="63"/>
        <v>#N/A</v>
      </c>
      <c r="D2011" s="409" t="s">
        <v>1569</v>
      </c>
      <c r="E2011" s="409" t="s">
        <v>1996</v>
      </c>
      <c r="F2011" s="409" t="s">
        <v>6061</v>
      </c>
      <c r="G2011" s="409" t="s">
        <v>2501</v>
      </c>
      <c r="H2011" s="465" t="e">
        <v>#N/A</v>
      </c>
      <c r="I2011" s="465" t="e">
        <v>#N/A</v>
      </c>
      <c r="J2011" s="465" t="e">
        <v>#N/A</v>
      </c>
      <c r="K2011" s="465" t="e">
        <v>#N/A</v>
      </c>
      <c r="L2011" s="464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str">
        <f t="shared" si="62"/>
        <v>SEVROLL 01011-A Gemini horné vedenie 3m oliva new</v>
      </c>
      <c r="C2012" s="185" t="e">
        <f t="shared" si="63"/>
        <v>#N/A</v>
      </c>
      <c r="D2012" s="409" t="s">
        <v>1570</v>
      </c>
      <c r="E2012" s="409" t="s">
        <v>1997</v>
      </c>
      <c r="F2012" s="409" t="s">
        <v>6062</v>
      </c>
      <c r="G2012" s="409" t="s">
        <v>2502</v>
      </c>
      <c r="H2012" s="465" t="e">
        <v>#N/A</v>
      </c>
      <c r="I2012" s="465" t="e">
        <v>#N/A</v>
      </c>
      <c r="J2012" s="465" t="e">
        <v>#N/A</v>
      </c>
      <c r="K2012" s="465" t="e">
        <v>#N/A</v>
      </c>
      <c r="L2012" s="464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str">
        <f t="shared" si="62"/>
        <v>SEVROLL  01439-A Gemini horné vedenie 4,05m oliva new</v>
      </c>
      <c r="C2013" s="185" t="e">
        <f t="shared" si="63"/>
        <v>#N/A</v>
      </c>
      <c r="D2013" s="409" t="s">
        <v>1571</v>
      </c>
      <c r="E2013" s="409" t="s">
        <v>1998</v>
      </c>
      <c r="F2013" s="409" t="s">
        <v>6063</v>
      </c>
      <c r="G2013" s="409" t="s">
        <v>2503</v>
      </c>
      <c r="H2013" s="465" t="e">
        <v>#N/A</v>
      </c>
      <c r="I2013" s="465" t="e">
        <v>#N/A</v>
      </c>
      <c r="J2013" s="465" t="e">
        <v>#N/A</v>
      </c>
      <c r="K2013" s="465" t="e">
        <v>#N/A</v>
      </c>
      <c r="L2013" s="464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str">
        <f t="shared" si="62"/>
        <v>SEVROLL 00093-A uholník Mini 17x11mm oliva new 1,7m</v>
      </c>
      <c r="C2014" s="185" t="e">
        <f t="shared" si="63"/>
        <v>#N/A</v>
      </c>
      <c r="D2014" s="409" t="s">
        <v>6064</v>
      </c>
      <c r="E2014" s="409" t="s">
        <v>6065</v>
      </c>
      <c r="F2014" s="409" t="s">
        <v>6066</v>
      </c>
      <c r="G2014" s="409" t="s">
        <v>6067</v>
      </c>
      <c r="H2014" s="465" t="e">
        <v>#N/A</v>
      </c>
      <c r="I2014" s="465" t="e">
        <v>#N/A</v>
      </c>
      <c r="J2014" s="465" t="e">
        <v>#N/A</v>
      </c>
      <c r="K2014" s="465" t="e">
        <v>#N/A</v>
      </c>
      <c r="L2014" s="464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str">
        <f t="shared" si="62"/>
        <v>SEVROLL 00094-A uholník Mini 17x11mm 2,35m oliva new</v>
      </c>
      <c r="C2015" s="185" t="e">
        <f t="shared" si="63"/>
        <v>#N/A</v>
      </c>
      <c r="D2015" s="409" t="s">
        <v>6068</v>
      </c>
      <c r="E2015" s="409" t="s">
        <v>6069</v>
      </c>
      <c r="F2015" s="409" t="s">
        <v>6070</v>
      </c>
      <c r="G2015" s="409" t="s">
        <v>6071</v>
      </c>
      <c r="H2015" s="465" t="e">
        <v>#N/A</v>
      </c>
      <c r="I2015" s="465" t="e">
        <v>#N/A</v>
      </c>
      <c r="J2015" s="465" t="e">
        <v>#N/A</v>
      </c>
      <c r="K2015" s="465" t="e">
        <v>#N/A</v>
      </c>
      <c r="L2015" s="464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str">
        <f t="shared" si="62"/>
        <v>SEVROLL spojovaciá lišta "T" 3m oliva new</v>
      </c>
      <c r="C2016" s="185" t="e">
        <f t="shared" si="63"/>
        <v>#N/A</v>
      </c>
      <c r="D2016" s="409" t="s">
        <v>1572</v>
      </c>
      <c r="E2016" s="409" t="s">
        <v>1999</v>
      </c>
      <c r="F2016" s="409" t="s">
        <v>2202</v>
      </c>
      <c r="G2016" s="409" t="s">
        <v>6072</v>
      </c>
      <c r="H2016" s="465" t="e">
        <v>#N/A</v>
      </c>
      <c r="I2016" s="465" t="e">
        <v>#N/A</v>
      </c>
      <c r="J2016" s="465" t="e">
        <v>#N/A</v>
      </c>
      <c r="K2016" s="465" t="e">
        <v>#N/A</v>
      </c>
      <c r="L2016" s="464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str">
        <f t="shared" si="62"/>
        <v>SEVROLL spodná krycia lišta 3m 10mm oliva new</v>
      </c>
      <c r="C2017" s="185" t="e">
        <f t="shared" si="63"/>
        <v>#N/A</v>
      </c>
      <c r="D2017" s="409" t="s">
        <v>1573</v>
      </c>
      <c r="E2017" s="409" t="s">
        <v>2000</v>
      </c>
      <c r="F2017" s="409" t="s">
        <v>2203</v>
      </c>
      <c r="G2017" s="409" t="s">
        <v>6073</v>
      </c>
      <c r="H2017" s="465" t="e">
        <v>#N/A</v>
      </c>
      <c r="I2017" s="465" t="e">
        <v>#N/A</v>
      </c>
      <c r="J2017" s="465" t="e">
        <v>#N/A</v>
      </c>
      <c r="K2017" s="465" t="e">
        <v>#N/A</v>
      </c>
      <c r="L2017" s="464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str">
        <f t="shared" si="62"/>
        <v>SEVROLL spodná krycia lišta 2,35m 10mm oliva new</v>
      </c>
      <c r="C2018" s="185" t="e">
        <f t="shared" si="63"/>
        <v>#N/A</v>
      </c>
      <c r="D2018" s="409" t="s">
        <v>1574</v>
      </c>
      <c r="E2018" s="409" t="s">
        <v>2001</v>
      </c>
      <c r="F2018" s="409" t="s">
        <v>2204</v>
      </c>
      <c r="G2018" s="409" t="s">
        <v>6074</v>
      </c>
      <c r="H2018" s="465" t="e">
        <v>#N/A</v>
      </c>
      <c r="I2018" s="465" t="e">
        <v>#N/A</v>
      </c>
      <c r="J2018" s="465" t="e">
        <v>#N/A</v>
      </c>
      <c r="K2018" s="465" t="e">
        <v>#N/A</v>
      </c>
      <c r="L2018" s="464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str">
        <f t="shared" si="62"/>
        <v>SEVROLL spodná krycia lišta 1,7m 10mm oliva new</v>
      </c>
      <c r="C2019" s="185" t="e">
        <f t="shared" si="63"/>
        <v>#N/A</v>
      </c>
      <c r="D2019" s="409" t="s">
        <v>1575</v>
      </c>
      <c r="E2019" s="409" t="s">
        <v>2002</v>
      </c>
      <c r="F2019" s="409" t="s">
        <v>2205</v>
      </c>
      <c r="G2019" s="409" t="s">
        <v>6075</v>
      </c>
      <c r="H2019" s="465" t="e">
        <v>#N/A</v>
      </c>
      <c r="I2019" s="465" t="e">
        <v>#N/A</v>
      </c>
      <c r="J2019" s="465" t="e">
        <v>#N/A</v>
      </c>
      <c r="K2019" s="465" t="e">
        <v>#N/A</v>
      </c>
      <c r="L2019" s="464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str">
        <f t="shared" si="62"/>
        <v>SEVROLL 206 VOD.LIŠTA HOR.1,7M oliva new</v>
      </c>
      <c r="C2020" s="185" t="e">
        <f t="shared" si="63"/>
        <v>#N/A</v>
      </c>
      <c r="D2020" s="409" t="s">
        <v>1576</v>
      </c>
      <c r="E2020" s="409" t="s">
        <v>2003</v>
      </c>
      <c r="F2020" s="409" t="s">
        <v>2206</v>
      </c>
      <c r="G2020" s="409" t="s">
        <v>6076</v>
      </c>
      <c r="H2020" s="465" t="e">
        <v>#N/A</v>
      </c>
      <c r="I2020" s="465" t="e">
        <v>#N/A</v>
      </c>
      <c r="J2020" s="465" t="e">
        <v>#N/A</v>
      </c>
      <c r="K2020" s="465" t="e">
        <v>#N/A</v>
      </c>
      <c r="L2020" s="464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str">
        <f t="shared" si="62"/>
        <v>SEVROLL 207 VOD.LIŠTA HOR.2,35M oliva new</v>
      </c>
      <c r="C2021" s="185" t="e">
        <f t="shared" si="63"/>
        <v>#N/A</v>
      </c>
      <c r="D2021" s="409" t="s">
        <v>1577</v>
      </c>
      <c r="E2021" s="409" t="s">
        <v>2004</v>
      </c>
      <c r="F2021" s="409" t="s">
        <v>2207</v>
      </c>
      <c r="G2021" s="409" t="s">
        <v>6077</v>
      </c>
      <c r="H2021" s="465" t="e">
        <v>#N/A</v>
      </c>
      <c r="I2021" s="465" t="e">
        <v>#N/A</v>
      </c>
      <c r="J2021" s="465" t="e">
        <v>#N/A</v>
      </c>
      <c r="K2021" s="465" t="e">
        <v>#N/A</v>
      </c>
      <c r="L2021" s="464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str">
        <f t="shared" si="62"/>
        <v>SEVROLL 208 VOD.LIŠTA HOR 3M oliva new</v>
      </c>
      <c r="C2022" s="185" t="e">
        <f t="shared" si="63"/>
        <v>#N/A</v>
      </c>
      <c r="D2022" s="409" t="s">
        <v>1578</v>
      </c>
      <c r="E2022" s="409" t="s">
        <v>2005</v>
      </c>
      <c r="F2022" s="409" t="s">
        <v>2208</v>
      </c>
      <c r="G2022" s="409" t="s">
        <v>6078</v>
      </c>
      <c r="H2022" s="465" t="e">
        <v>#N/A</v>
      </c>
      <c r="I2022" s="465" t="e">
        <v>#N/A</v>
      </c>
      <c r="J2022" s="465" t="e">
        <v>#N/A</v>
      </c>
      <c r="K2022" s="465" t="e">
        <v>#N/A</v>
      </c>
      <c r="L2022" s="464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str">
        <f t="shared" si="62"/>
        <v>SEVROLL 153 SPOJ.LIŠTA "H 10"3M oliva new</v>
      </c>
      <c r="C2023" s="185" t="e">
        <f t="shared" si="63"/>
        <v>#N/A</v>
      </c>
      <c r="D2023" s="409" t="s">
        <v>1579</v>
      </c>
      <c r="E2023" s="409" t="s">
        <v>2006</v>
      </c>
      <c r="F2023" s="409" t="s">
        <v>2209</v>
      </c>
      <c r="G2023" s="409" t="s">
        <v>6079</v>
      </c>
      <c r="H2023" s="465" t="e">
        <v>#N/A</v>
      </c>
      <c r="I2023" s="465" t="e">
        <v>#N/A</v>
      </c>
      <c r="J2023" s="465" t="e">
        <v>#N/A</v>
      </c>
      <c r="K2023" s="465" t="e">
        <v>#N/A</v>
      </c>
      <c r="L2023" s="464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str">
        <f t="shared" si="62"/>
        <v>SEVROLL Focus 16mm úchytová lišta 2,7m oliva new</v>
      </c>
      <c r="C2024" s="185" t="e">
        <f t="shared" si="63"/>
        <v>#N/A</v>
      </c>
      <c r="D2024" s="409" t="s">
        <v>1580</v>
      </c>
      <c r="E2024" s="409" t="s">
        <v>2007</v>
      </c>
      <c r="F2024" s="409" t="s">
        <v>2210</v>
      </c>
      <c r="G2024" s="409" t="s">
        <v>2504</v>
      </c>
      <c r="H2024" s="465" t="e">
        <v>#N/A</v>
      </c>
      <c r="I2024" s="465" t="e">
        <v>#N/A</v>
      </c>
      <c r="J2024" s="465" t="e">
        <v>#N/A</v>
      </c>
      <c r="K2024" s="465" t="e">
        <v>#N/A</v>
      </c>
      <c r="L2024" s="464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str">
        <f t="shared" si="62"/>
        <v>SEVROLL Tytan úch.lišta 18mm 2,7m oliva new</v>
      </c>
      <c r="C2025" s="185" t="e">
        <f t="shared" si="63"/>
        <v>#N/A</v>
      </c>
      <c r="D2025" s="409" t="s">
        <v>1581</v>
      </c>
      <c r="E2025" s="409" t="s">
        <v>2008</v>
      </c>
      <c r="F2025" s="409" t="s">
        <v>2211</v>
      </c>
      <c r="G2025" s="409" t="s">
        <v>6080</v>
      </c>
      <c r="H2025" s="465" t="e">
        <v>#N/A</v>
      </c>
      <c r="I2025" s="465" t="e">
        <v>#N/A</v>
      </c>
      <c r="J2025" s="465" t="e">
        <v>#N/A</v>
      </c>
      <c r="K2025" s="465" t="e">
        <v>#N/A</v>
      </c>
      <c r="L2025" s="464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str">
        <f t="shared" si="62"/>
        <v>SEVROLL HOR.VEDENIE COMFORT 2,35 M oliva new</v>
      </c>
      <c r="C2026" s="185" t="e">
        <f t="shared" si="63"/>
        <v>#N/A</v>
      </c>
      <c r="D2026" s="409" t="s">
        <v>1582</v>
      </c>
      <c r="E2026" s="409" t="s">
        <v>2009</v>
      </c>
      <c r="F2026" s="409" t="s">
        <v>2212</v>
      </c>
      <c r="G2026" s="409" t="s">
        <v>2505</v>
      </c>
      <c r="H2026" s="465" t="e">
        <v>#N/A</v>
      </c>
      <c r="I2026" s="465" t="e">
        <v>#N/A</v>
      </c>
      <c r="J2026" s="465" t="e">
        <v>#N/A</v>
      </c>
      <c r="K2026" s="465" t="e">
        <v>#N/A</v>
      </c>
      <c r="L2026" s="464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str">
        <f t="shared" si="62"/>
        <v>SEVROLL HOR.VEDENIE COMFORT 3 M oliva new</v>
      </c>
      <c r="C2027" s="185" t="e">
        <f t="shared" si="63"/>
        <v>#N/A</v>
      </c>
      <c r="D2027" s="409" t="s">
        <v>1583</v>
      </c>
      <c r="E2027" s="409" t="s">
        <v>2010</v>
      </c>
      <c r="F2027" s="409" t="s">
        <v>2213</v>
      </c>
      <c r="G2027" s="409" t="s">
        <v>2506</v>
      </c>
      <c r="H2027" s="465" t="e">
        <v>#N/A</v>
      </c>
      <c r="I2027" s="465" t="e">
        <v>#N/A</v>
      </c>
      <c r="J2027" s="465" t="e">
        <v>#N/A</v>
      </c>
      <c r="K2027" s="465" t="e">
        <v>#N/A</v>
      </c>
      <c r="L2027" s="464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str">
        <f t="shared" si="62"/>
        <v>SEVROLL HOR.VEDENIE COMFORT 4,05 M oliva new</v>
      </c>
      <c r="C2028" s="185" t="e">
        <f t="shared" si="63"/>
        <v>#N/A</v>
      </c>
      <c r="D2028" s="409" t="s">
        <v>1584</v>
      </c>
      <c r="E2028" s="409" t="s">
        <v>2011</v>
      </c>
      <c r="F2028" s="409" t="s">
        <v>2214</v>
      </c>
      <c r="G2028" s="409" t="s">
        <v>2507</v>
      </c>
      <c r="H2028" s="465" t="e">
        <v>#N/A</v>
      </c>
      <c r="I2028" s="465" t="e">
        <v>#N/A</v>
      </c>
      <c r="J2028" s="465" t="e">
        <v>#N/A</v>
      </c>
      <c r="K2028" s="465" t="e">
        <v>#N/A</v>
      </c>
      <c r="L2028" s="464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str">
        <f t="shared" si="62"/>
        <v>SEVROLL 161 U PROFna DTD 18mm-3m, oliva new</v>
      </c>
      <c r="C2029" s="185" t="e">
        <f t="shared" si="63"/>
        <v>#N/A</v>
      </c>
      <c r="D2029" s="409" t="s">
        <v>1398</v>
      </c>
      <c r="E2029" s="409" t="s">
        <v>2012</v>
      </c>
      <c r="F2029" s="409" t="s">
        <v>2215</v>
      </c>
      <c r="G2029" s="409" t="s">
        <v>2399</v>
      </c>
      <c r="H2029" s="465" t="e">
        <v>#N/A</v>
      </c>
      <c r="I2029" s="465" t="e">
        <v>#N/A</v>
      </c>
      <c r="J2029" s="465" t="e">
        <v>#N/A</v>
      </c>
      <c r="K2029" s="465" t="e">
        <v>#N/A</v>
      </c>
      <c r="L2029" s="464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str">
        <f t="shared" si="62"/>
        <v>SEVROLL  00219-A spojovacia lišta H30 3m oliva new</v>
      </c>
      <c r="C2030" s="185" t="e">
        <f t="shared" si="63"/>
        <v>#N/A</v>
      </c>
      <c r="D2030" s="409" t="s">
        <v>1585</v>
      </c>
      <c r="E2030" s="409" t="s">
        <v>2013</v>
      </c>
      <c r="F2030" s="409" t="s">
        <v>6081</v>
      </c>
      <c r="G2030" s="409" t="s">
        <v>2508</v>
      </c>
      <c r="H2030" s="465" t="e">
        <v>#N/A</v>
      </c>
      <c r="I2030" s="465" t="e">
        <v>#N/A</v>
      </c>
      <c r="J2030" s="465" t="e">
        <v>#N/A</v>
      </c>
      <c r="K2030" s="465" t="e">
        <v>#N/A</v>
      </c>
      <c r="L2030" s="464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str">
        <f t="shared" si="62"/>
        <v>SEVROLL Master úchytová lišta 2,7m oliva new</v>
      </c>
      <c r="C2031" s="185" t="e">
        <f t="shared" si="63"/>
        <v>#N/A</v>
      </c>
      <c r="D2031" s="409" t="s">
        <v>1586</v>
      </c>
      <c r="E2031" s="409" t="s">
        <v>2014</v>
      </c>
      <c r="F2031" s="409" t="s">
        <v>2216</v>
      </c>
      <c r="G2031" s="409" t="s">
        <v>2509</v>
      </c>
      <c r="H2031" s="465" t="e">
        <v>#N/A</v>
      </c>
      <c r="I2031" s="465" t="e">
        <v>#N/A</v>
      </c>
      <c r="J2031" s="465" t="e">
        <v>#N/A</v>
      </c>
      <c r="K2031" s="465" t="e">
        <v>#N/A</v>
      </c>
      <c r="L2031" s="464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str">
        <f t="shared" si="62"/>
        <v>SEVROLL Master úchytová lišta 3m oliva new</v>
      </c>
      <c r="C2032" s="185" t="e">
        <f t="shared" si="63"/>
        <v>#N/A</v>
      </c>
      <c r="D2032" s="409" t="s">
        <v>1587</v>
      </c>
      <c r="E2032" s="409" t="s">
        <v>2015</v>
      </c>
      <c r="F2032" s="409" t="s">
        <v>2217</v>
      </c>
      <c r="G2032" s="409" t="s">
        <v>2510</v>
      </c>
      <c r="H2032" s="465" t="e">
        <v>#N/A</v>
      </c>
      <c r="I2032" s="465" t="e">
        <v>#N/A</v>
      </c>
      <c r="J2032" s="465" t="e">
        <v>#N/A</v>
      </c>
      <c r="K2032" s="465" t="e">
        <v>#N/A</v>
      </c>
      <c r="L2032" s="464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str">
        <f t="shared" si="62"/>
        <v>SEVROLL 00070-A uholník K2 Decor 2,35m oliva new</v>
      </c>
      <c r="C2033" s="185" t="e">
        <f t="shared" si="63"/>
        <v>#N/A</v>
      </c>
      <c r="D2033" s="409" t="s">
        <v>1588</v>
      </c>
      <c r="E2033" s="409" t="s">
        <v>2016</v>
      </c>
      <c r="F2033" s="409" t="s">
        <v>6082</v>
      </c>
      <c r="G2033" s="409" t="s">
        <v>6083</v>
      </c>
      <c r="H2033" s="465" t="e">
        <v>#N/A</v>
      </c>
      <c r="I2033" s="465" t="e">
        <v>#N/A</v>
      </c>
      <c r="J2033" s="465" t="e">
        <v>#N/A</v>
      </c>
      <c r="K2033" s="465" t="e">
        <v>#N/A</v>
      </c>
      <c r="L2033" s="464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str">
        <f t="shared" si="62"/>
        <v>SEVROLL 00071-A uholník K2 Decor 3m oliva new</v>
      </c>
      <c r="C2034" s="185" t="e">
        <f t="shared" si="63"/>
        <v>#N/A</v>
      </c>
      <c r="D2034" s="409" t="s">
        <v>1589</v>
      </c>
      <c r="E2034" s="409" t="s">
        <v>2017</v>
      </c>
      <c r="F2034" s="409" t="s">
        <v>6084</v>
      </c>
      <c r="G2034" s="409" t="s">
        <v>6085</v>
      </c>
      <c r="H2034" s="465" t="e">
        <v>#N/A</v>
      </c>
      <c r="I2034" s="465" t="e">
        <v>#N/A</v>
      </c>
      <c r="J2034" s="465" t="e">
        <v>#N/A</v>
      </c>
      <c r="K2034" s="465" t="e">
        <v>#N/A</v>
      </c>
      <c r="L2034" s="464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str">
        <f t="shared" si="62"/>
        <v>SEVROLL spojovacia lišta H18 3m oliva new</v>
      </c>
      <c r="C2035" s="185" t="e">
        <f t="shared" si="63"/>
        <v>#N/A</v>
      </c>
      <c r="D2035" s="409" t="s">
        <v>1590</v>
      </c>
      <c r="E2035" s="409" t="s">
        <v>2018</v>
      </c>
      <c r="F2035" s="409" t="s">
        <v>2218</v>
      </c>
      <c r="G2035" s="409" t="s">
        <v>6086</v>
      </c>
      <c r="H2035" s="465" t="e">
        <v>#N/A</v>
      </c>
      <c r="I2035" s="465" t="e">
        <v>#N/A</v>
      </c>
      <c r="J2035" s="465" t="e">
        <v>#N/A</v>
      </c>
      <c r="K2035" s="465" t="e">
        <v>#N/A</v>
      </c>
      <c r="L2035" s="464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str">
        <f t="shared" si="62"/>
        <v>SEVROLL 01370-A  spojovacia lišta T Decor 3m oliva new</v>
      </c>
      <c r="C2036" s="185" t="e">
        <f t="shared" si="63"/>
        <v>#N/A</v>
      </c>
      <c r="D2036" s="409" t="s">
        <v>1591</v>
      </c>
      <c r="E2036" s="409" t="s">
        <v>2019</v>
      </c>
      <c r="F2036" s="409" t="s">
        <v>6087</v>
      </c>
      <c r="G2036" s="409" t="s">
        <v>2511</v>
      </c>
      <c r="H2036" s="465" t="e">
        <v>#N/A</v>
      </c>
      <c r="I2036" s="465" t="e">
        <v>#N/A</v>
      </c>
      <c r="J2036" s="465" t="e">
        <v>#N/A</v>
      </c>
      <c r="K2036" s="465" t="e">
        <v>#N/A</v>
      </c>
      <c r="L2036" s="464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str">
        <f t="shared" si="62"/>
        <v>SEVROLL 00035-A profil "U" Decor 18mm 3m oliva new</v>
      </c>
      <c r="C2037" s="185" t="e">
        <f t="shared" si="63"/>
        <v>#N/A</v>
      </c>
      <c r="D2037" s="409" t="s">
        <v>1592</v>
      </c>
      <c r="E2037" s="409" t="s">
        <v>2020</v>
      </c>
      <c r="F2037" s="409" t="s">
        <v>1592</v>
      </c>
      <c r="G2037" s="409" t="s">
        <v>2512</v>
      </c>
      <c r="H2037" s="465" t="e">
        <v>#N/A</v>
      </c>
      <c r="I2037" s="465" t="e">
        <v>#N/A</v>
      </c>
      <c r="J2037" s="465" t="e">
        <v>#N/A</v>
      </c>
      <c r="K2037" s="465" t="e">
        <v>#N/A</v>
      </c>
      <c r="L2037" s="464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str">
        <f t="shared" si="62"/>
        <v>SEVROLL 01246-A Single horné vedenie 1,7m oliva new</v>
      </c>
      <c r="C2038" s="185" t="e">
        <f t="shared" si="63"/>
        <v>#N/A</v>
      </c>
      <c r="D2038" s="409" t="s">
        <v>1593</v>
      </c>
      <c r="E2038" s="409" t="s">
        <v>2021</v>
      </c>
      <c r="F2038" s="409" t="s">
        <v>6088</v>
      </c>
      <c r="G2038" s="409" t="s">
        <v>2513</v>
      </c>
      <c r="H2038" s="465" t="e">
        <v>#N/A</v>
      </c>
      <c r="I2038" s="465" t="e">
        <v>#N/A</v>
      </c>
      <c r="J2038" s="465" t="e">
        <v>#N/A</v>
      </c>
      <c r="K2038" s="465" t="e">
        <v>#N/A</v>
      </c>
      <c r="L2038" s="464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str">
        <f t="shared" si="62"/>
        <v>SEVROLL 01248-A Single horné vedenie 3m oliva new</v>
      </c>
      <c r="C2039" s="185" t="e">
        <f t="shared" si="63"/>
        <v>#N/A</v>
      </c>
      <c r="D2039" s="409" t="s">
        <v>1594</v>
      </c>
      <c r="E2039" s="409" t="s">
        <v>2022</v>
      </c>
      <c r="F2039" s="409" t="s">
        <v>6089</v>
      </c>
      <c r="G2039" s="409" t="s">
        <v>2514</v>
      </c>
      <c r="H2039" s="465" t="e">
        <v>#N/A</v>
      </c>
      <c r="I2039" s="465" t="e">
        <v>#N/A</v>
      </c>
      <c r="J2039" s="465" t="e">
        <v>#N/A</v>
      </c>
      <c r="K2039" s="465" t="e">
        <v>#N/A</v>
      </c>
      <c r="L2039" s="464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str">
        <f t="shared" si="62"/>
        <v>SEVROLL SMART spodné vedenia 1,7 M oliva new</v>
      </c>
      <c r="C2040" s="185" t="e">
        <f t="shared" si="63"/>
        <v>#N/A</v>
      </c>
      <c r="D2040" s="409" t="s">
        <v>1595</v>
      </c>
      <c r="E2040" s="409" t="s">
        <v>2023</v>
      </c>
      <c r="F2040" s="409" t="s">
        <v>2219</v>
      </c>
      <c r="G2040" s="409" t="s">
        <v>2515</v>
      </c>
      <c r="H2040" s="465" t="e">
        <v>#N/A</v>
      </c>
      <c r="I2040" s="465" t="e">
        <v>#N/A</v>
      </c>
      <c r="J2040" s="465" t="e">
        <v>#N/A</v>
      </c>
      <c r="K2040" s="465" t="e">
        <v>#N/A</v>
      </c>
      <c r="L2040" s="464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str">
        <f t="shared" si="62"/>
        <v>SEVROLL SMART spodné vedenia 2,35M oliva new</v>
      </c>
      <c r="C2041" s="185" t="e">
        <f t="shared" si="63"/>
        <v>#N/A</v>
      </c>
      <c r="D2041" s="409" t="s">
        <v>1596</v>
      </c>
      <c r="E2041" s="409" t="s">
        <v>2024</v>
      </c>
      <c r="F2041" s="409" t="s">
        <v>2220</v>
      </c>
      <c r="G2041" s="409" t="s">
        <v>2516</v>
      </c>
      <c r="H2041" s="465" t="e">
        <v>#N/A</v>
      </c>
      <c r="I2041" s="465" t="e">
        <v>#N/A</v>
      </c>
      <c r="J2041" s="465" t="e">
        <v>#N/A</v>
      </c>
      <c r="K2041" s="465" t="e">
        <v>#N/A</v>
      </c>
      <c r="L2041" s="464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str">
        <f t="shared" si="62"/>
        <v>SEVROLL SMART SPODNÉ VEDENIE 3M oliva new</v>
      </c>
      <c r="C2042" s="185" t="e">
        <f t="shared" si="63"/>
        <v>#N/A</v>
      </c>
      <c r="D2042" s="409" t="s">
        <v>1597</v>
      </c>
      <c r="E2042" s="409" t="s">
        <v>2025</v>
      </c>
      <c r="F2042" s="409" t="s">
        <v>2221</v>
      </c>
      <c r="G2042" s="409" t="s">
        <v>2517</v>
      </c>
      <c r="H2042" s="465" t="e">
        <v>#N/A</v>
      </c>
      <c r="I2042" s="465" t="e">
        <v>#N/A</v>
      </c>
      <c r="J2042" s="465" t="e">
        <v>#N/A</v>
      </c>
      <c r="K2042" s="465" t="e">
        <v>#N/A</v>
      </c>
      <c r="L2042" s="464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str">
        <f t="shared" si="62"/>
        <v>SEVROLL 04274-A Elegant II spodné vedenie  2,35m oliva new</v>
      </c>
      <c r="C2043" s="185" t="e">
        <f t="shared" si="63"/>
        <v>#N/A</v>
      </c>
      <c r="D2043" s="409" t="s">
        <v>1598</v>
      </c>
      <c r="E2043" s="409" t="s">
        <v>2026</v>
      </c>
      <c r="F2043" s="409" t="s">
        <v>6090</v>
      </c>
      <c r="G2043" s="409" t="s">
        <v>6091</v>
      </c>
      <c r="H2043" s="465" t="e">
        <v>#N/A</v>
      </c>
      <c r="I2043" s="465" t="e">
        <v>#N/A</v>
      </c>
      <c r="J2043" s="465" t="e">
        <v>#N/A</v>
      </c>
      <c r="K2043" s="465" t="e">
        <v>#N/A</v>
      </c>
      <c r="L2043" s="464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str">
        <f t="shared" si="62"/>
        <v>SEVROLL 04275-A Elegant II spodné vedenie  3m oliva new</v>
      </c>
      <c r="C2044" s="185" t="e">
        <f t="shared" si="63"/>
        <v>#N/A</v>
      </c>
      <c r="D2044" s="409" t="s">
        <v>1599</v>
      </c>
      <c r="E2044" s="409" t="s">
        <v>2027</v>
      </c>
      <c r="F2044" s="409" t="s">
        <v>6092</v>
      </c>
      <c r="G2044" s="409" t="s">
        <v>6093</v>
      </c>
      <c r="H2044" s="465" t="e">
        <v>#N/A</v>
      </c>
      <c r="I2044" s="465" t="e">
        <v>#N/A</v>
      </c>
      <c r="J2044" s="465" t="e">
        <v>#N/A</v>
      </c>
      <c r="K2044" s="465" t="e">
        <v>#N/A</v>
      </c>
      <c r="L2044" s="464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str">
        <f t="shared" si="62"/>
        <v>SEVROLL 04276-A Elegant II spodné vedenie  4,05m oliva new</v>
      </c>
      <c r="C2045" s="185" t="e">
        <f t="shared" si="63"/>
        <v>#N/A</v>
      </c>
      <c r="D2045" s="409" t="s">
        <v>1600</v>
      </c>
      <c r="E2045" s="409" t="s">
        <v>2028</v>
      </c>
      <c r="F2045" s="409" t="s">
        <v>6094</v>
      </c>
      <c r="G2045" s="409" t="s">
        <v>6095</v>
      </c>
      <c r="H2045" s="465" t="e">
        <v>#N/A</v>
      </c>
      <c r="I2045" s="465" t="e">
        <v>#N/A</v>
      </c>
      <c r="J2045" s="465" t="e">
        <v>#N/A</v>
      </c>
      <c r="K2045" s="465" t="e">
        <v>#N/A</v>
      </c>
      <c r="L2045" s="464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str">
        <f t="shared" si="62"/>
        <v>SEVROLL 02032-A profil "U" pre lamino 16mm 3m oliva new</v>
      </c>
      <c r="C2046" s="185" t="e">
        <f t="shared" si="63"/>
        <v>#N/A</v>
      </c>
      <c r="D2046" s="409" t="s">
        <v>1601</v>
      </c>
      <c r="E2046" s="409" t="s">
        <v>2029</v>
      </c>
      <c r="F2046" s="409" t="s">
        <v>6096</v>
      </c>
      <c r="G2046" s="409" t="s">
        <v>2518</v>
      </c>
      <c r="H2046" s="465" t="e">
        <v>#N/A</v>
      </c>
      <c r="I2046" s="465" t="e">
        <v>#N/A</v>
      </c>
      <c r="J2046" s="465" t="e">
        <v>#N/A</v>
      </c>
      <c r="K2046" s="465" t="e">
        <v>#N/A</v>
      </c>
      <c r="L2046" s="464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str">
        <f t="shared" si="62"/>
        <v>SEVROLL SPOJOVACia LIŠTA H04 3M oliva new</v>
      </c>
      <c r="C2047" s="185" t="e">
        <f t="shared" si="63"/>
        <v>#N/A</v>
      </c>
      <c r="D2047" s="409" t="s">
        <v>1602</v>
      </c>
      <c r="E2047" s="409" t="s">
        <v>2030</v>
      </c>
      <c r="F2047" s="409" t="s">
        <v>2222</v>
      </c>
      <c r="G2047" s="409" t="s">
        <v>6097</v>
      </c>
      <c r="H2047" s="465" t="e">
        <v>#N/A</v>
      </c>
      <c r="I2047" s="465" t="e">
        <v>#N/A</v>
      </c>
      <c r="J2047" s="465" t="e">
        <v>#N/A</v>
      </c>
      <c r="K2047" s="465" t="e">
        <v>#N/A</v>
      </c>
      <c r="L2047" s="464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str">
        <f t="shared" si="62"/>
        <v>SEVROLL Gemini horné vedenie 6m oliva new</v>
      </c>
      <c r="C2048" s="185" t="e">
        <f t="shared" si="63"/>
        <v>#N/A</v>
      </c>
      <c r="D2048" s="409" t="s">
        <v>1603</v>
      </c>
      <c r="E2048" s="409" t="s">
        <v>2031</v>
      </c>
      <c r="F2048" s="409" t="s">
        <v>2223</v>
      </c>
      <c r="G2048" s="409" t="s">
        <v>2519</v>
      </c>
      <c r="H2048" s="465" t="e">
        <v>#N/A</v>
      </c>
      <c r="I2048" s="465" t="e">
        <v>#N/A</v>
      </c>
      <c r="J2048" s="465" t="e">
        <v>#N/A</v>
      </c>
      <c r="K2048" s="465" t="e">
        <v>#N/A</v>
      </c>
      <c r="L2048" s="464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str">
        <f t="shared" si="62"/>
        <v>SEVROLL okrasná lišta S20 3m oliva new</v>
      </c>
      <c r="C2049" s="185" t="e">
        <f t="shared" si="63"/>
        <v>#N/A</v>
      </c>
      <c r="D2049" s="409" t="s">
        <v>1604</v>
      </c>
      <c r="E2049" s="409" t="s">
        <v>2032</v>
      </c>
      <c r="F2049" s="409" t="s">
        <v>2224</v>
      </c>
      <c r="G2049" s="409" t="s">
        <v>6098</v>
      </c>
      <c r="H2049" s="465" t="e">
        <v>#N/A</v>
      </c>
      <c r="I2049" s="465" t="e">
        <v>#N/A</v>
      </c>
      <c r="J2049" s="465" t="e">
        <v>#N/A</v>
      </c>
      <c r="K2049" s="465" t="e">
        <v>#N/A</v>
      </c>
      <c r="L2049" s="464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str">
        <f t="shared" si="62"/>
        <v>SEVROLL okrasná lišta S10 3m oliva new</v>
      </c>
      <c r="C2050" s="185" t="e">
        <f t="shared" si="63"/>
        <v>#N/A</v>
      </c>
      <c r="D2050" s="409" t="s">
        <v>1605</v>
      </c>
      <c r="E2050" s="409" t="s">
        <v>2033</v>
      </c>
      <c r="F2050" s="409" t="s">
        <v>2225</v>
      </c>
      <c r="G2050" s="409" t="s">
        <v>2520</v>
      </c>
      <c r="H2050" s="465" t="e">
        <v>#N/A</v>
      </c>
      <c r="I2050" s="465" t="e">
        <v>#N/A</v>
      </c>
      <c r="J2050" s="465" t="e">
        <v>#N/A</v>
      </c>
      <c r="K2050" s="465" t="e">
        <v>#N/A</v>
      </c>
      <c r="L2050" s="464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str">
        <f t="shared" si="62"/>
        <v>SEVROLL Julia II úch.lišta 2,7m oliva new</v>
      </c>
      <c r="C2051" s="185" t="e">
        <f t="shared" si="63"/>
        <v>#N/A</v>
      </c>
      <c r="D2051" s="409" t="s">
        <v>1606</v>
      </c>
      <c r="E2051" s="409" t="s">
        <v>2034</v>
      </c>
      <c r="F2051" s="409" t="s">
        <v>2226</v>
      </c>
      <c r="G2051" s="409" t="s">
        <v>2521</v>
      </c>
      <c r="H2051" s="465" t="e">
        <v>#N/A</v>
      </c>
      <c r="I2051" s="465" t="e">
        <v>#N/A</v>
      </c>
      <c r="J2051" s="465" t="e">
        <v>#N/A</v>
      </c>
      <c r="K2051" s="465" t="e">
        <v>#N/A</v>
      </c>
      <c r="L2051" s="464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str">
        <f t="shared" ref="B2052:B2115" si="64">IF($A$2=1,D2052,IF($A$2=2,F2052,IF($A$2=3,G2052,IF($A$2=4,E2052,IF($A$2&gt;4,P2052,"zadat jazyk")))))</f>
        <v>SEVROLL Romeo II úch.lišta 2,7m oliva new</v>
      </c>
      <c r="C2052" s="185" t="e">
        <f t="shared" ref="C2052:C2115" si="65">IF($A$2=1,H2052,IF($A$2=2,I2052,IF($A$2=3,J2052,IF($A$2=4,K2052,IF($A$2&gt;4,O2052,"zadat jazyk")))))</f>
        <v>#N/A</v>
      </c>
      <c r="D2052" s="409" t="s">
        <v>1607</v>
      </c>
      <c r="E2052" s="409" t="s">
        <v>2035</v>
      </c>
      <c r="F2052" s="409" t="s">
        <v>2227</v>
      </c>
      <c r="G2052" s="409" t="s">
        <v>6099</v>
      </c>
      <c r="H2052" s="465" t="e">
        <v>#N/A</v>
      </c>
      <c r="I2052" s="465" t="e">
        <v>#N/A</v>
      </c>
      <c r="J2052" s="465" t="e">
        <v>#N/A</v>
      </c>
      <c r="K2052" s="465" t="e">
        <v>#N/A</v>
      </c>
      <c r="L2052" s="464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str">
        <f t="shared" si="64"/>
        <v>SEVROLL 04548-A Factor 18 II úchytová lišta 2,7m oliva new</v>
      </c>
      <c r="C2053" s="185" t="e">
        <f t="shared" si="65"/>
        <v>#N/A</v>
      </c>
      <c r="D2053" s="409" t="s">
        <v>1608</v>
      </c>
      <c r="E2053" s="409" t="s">
        <v>2036</v>
      </c>
      <c r="F2053" s="409" t="s">
        <v>1608</v>
      </c>
      <c r="G2053" s="409" t="s">
        <v>6100</v>
      </c>
      <c r="H2053" s="465" t="e">
        <v>#N/A</v>
      </c>
      <c r="I2053" s="465" t="e">
        <v>#N/A</v>
      </c>
      <c r="J2053" s="465" t="e">
        <v>#N/A</v>
      </c>
      <c r="K2053" s="465" t="e">
        <v>#N/A</v>
      </c>
      <c r="L2053" s="464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str">
        <f t="shared" si="64"/>
        <v>SEVROLL Factor 16 II-úchyt.lišta oliva new 2,7m</v>
      </c>
      <c r="C2054" s="185" t="e">
        <f t="shared" si="65"/>
        <v>#N/A</v>
      </c>
      <c r="D2054" s="409" t="s">
        <v>1609</v>
      </c>
      <c r="E2054" s="409" t="s">
        <v>2037</v>
      </c>
      <c r="F2054" s="409" t="s">
        <v>2228</v>
      </c>
      <c r="G2054" s="409" t="s">
        <v>2522</v>
      </c>
      <c r="H2054" s="465" t="e">
        <v>#N/A</v>
      </c>
      <c r="I2054" s="465" t="e">
        <v>#N/A</v>
      </c>
      <c r="J2054" s="465" t="e">
        <v>#N/A</v>
      </c>
      <c r="K2054" s="465" t="e">
        <v>#N/A</v>
      </c>
      <c r="L2054" s="464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str">
        <f t="shared" si="64"/>
        <v>SEVROLL 04542-A Victoria II úchytová lišta 18mm 2,7m oliva new</v>
      </c>
      <c r="C2055" s="185" t="e">
        <f t="shared" si="65"/>
        <v>#N/A</v>
      </c>
      <c r="D2055" s="409" t="s">
        <v>1610</v>
      </c>
      <c r="E2055" s="409" t="s">
        <v>6101</v>
      </c>
      <c r="F2055" s="409" t="s">
        <v>1610</v>
      </c>
      <c r="G2055" s="409" t="s">
        <v>2523</v>
      </c>
      <c r="H2055" s="465" t="e">
        <v>#N/A</v>
      </c>
      <c r="I2055" s="465" t="e">
        <v>#N/A</v>
      </c>
      <c r="J2055" s="465" t="e">
        <v>#N/A</v>
      </c>
      <c r="K2055" s="465" t="e">
        <v>#N/A</v>
      </c>
      <c r="L2055" s="464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str">
        <f t="shared" si="64"/>
        <v>SEVROLL Minicomfort II úchytová lišta 2,7m oliva new</v>
      </c>
      <c r="C2056" s="185" t="e">
        <f t="shared" si="65"/>
        <v>#N/A</v>
      </c>
      <c r="D2056" s="409" t="s">
        <v>1611</v>
      </c>
      <c r="E2056" s="409" t="s">
        <v>2038</v>
      </c>
      <c r="F2056" s="409" t="s">
        <v>2229</v>
      </c>
      <c r="G2056" s="409" t="s">
        <v>2524</v>
      </c>
      <c r="H2056" s="465" t="e">
        <v>#N/A</v>
      </c>
      <c r="I2056" s="465" t="e">
        <v>#N/A</v>
      </c>
      <c r="J2056" s="465" t="e">
        <v>#N/A</v>
      </c>
      <c r="K2056" s="465" t="e">
        <v>#N/A</v>
      </c>
      <c r="L2056" s="464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str">
        <f t="shared" si="64"/>
        <v>SEVROLL Comfor 18 II úchytová lišta 2,7m oliva new</v>
      </c>
      <c r="C2057" s="185" t="e">
        <f t="shared" si="65"/>
        <v>#N/A</v>
      </c>
      <c r="D2057" s="409" t="s">
        <v>1612</v>
      </c>
      <c r="E2057" s="409" t="s">
        <v>2039</v>
      </c>
      <c r="F2057" s="409" t="s">
        <v>2230</v>
      </c>
      <c r="G2057" s="409" t="s">
        <v>2525</v>
      </c>
      <c r="H2057" s="465" t="e">
        <v>#N/A</v>
      </c>
      <c r="I2057" s="465" t="e">
        <v>#N/A</v>
      </c>
      <c r="J2057" s="465" t="e">
        <v>#N/A</v>
      </c>
      <c r="K2057" s="465" t="e">
        <v>#N/A</v>
      </c>
      <c r="L2057" s="464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str">
        <f t="shared" si="64"/>
        <v>SEVROLL Unicomfort II úchytová lišta 2,7m oliva new</v>
      </c>
      <c r="C2058" s="185" t="e">
        <f t="shared" si="65"/>
        <v>#N/A</v>
      </c>
      <c r="D2058" s="409" t="s">
        <v>1613</v>
      </c>
      <c r="E2058" s="409" t="s">
        <v>2040</v>
      </c>
      <c r="F2058" s="409" t="s">
        <v>2231</v>
      </c>
      <c r="G2058" s="409" t="s">
        <v>2526</v>
      </c>
      <c r="H2058" s="465" t="e">
        <v>#N/A</v>
      </c>
      <c r="I2058" s="465" t="e">
        <v>#N/A</v>
      </c>
      <c r="J2058" s="465" t="e">
        <v>#N/A</v>
      </c>
      <c r="K2058" s="465" t="e">
        <v>#N/A</v>
      </c>
      <c r="L2058" s="464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str">
        <f t="shared" si="64"/>
        <v>SEVROLL Faworyt II úchytová lišta 2,7m oliva new</v>
      </c>
      <c r="C2059" s="185" t="e">
        <f t="shared" si="65"/>
        <v>#N/A</v>
      </c>
      <c r="D2059" s="409" t="s">
        <v>1614</v>
      </c>
      <c r="E2059" s="409" t="s">
        <v>2041</v>
      </c>
      <c r="F2059" s="409" t="s">
        <v>2232</v>
      </c>
      <c r="G2059" s="409" t="s">
        <v>2527</v>
      </c>
      <c r="H2059" s="465" t="e">
        <v>#N/A</v>
      </c>
      <c r="I2059" s="465" t="e">
        <v>#N/A</v>
      </c>
      <c r="J2059" s="465" t="e">
        <v>#N/A</v>
      </c>
      <c r="K2059" s="465" t="e">
        <v>#N/A</v>
      </c>
      <c r="L2059" s="464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str">
        <f t="shared" si="64"/>
        <v>SEVROLL Comfor 16 II úch.lišta 2,7m oliva new</v>
      </c>
      <c r="C2060" s="185" t="e">
        <f t="shared" si="65"/>
        <v>#N/A</v>
      </c>
      <c r="D2060" s="409" t="s">
        <v>1615</v>
      </c>
      <c r="E2060" s="409" t="s">
        <v>2042</v>
      </c>
      <c r="F2060" s="409" t="s">
        <v>2233</v>
      </c>
      <c r="G2060" s="409" t="s">
        <v>2528</v>
      </c>
      <c r="H2060" s="465" t="e">
        <v>#N/A</v>
      </c>
      <c r="I2060" s="465" t="e">
        <v>#N/A</v>
      </c>
      <c r="J2060" s="465" t="e">
        <v>#N/A</v>
      </c>
      <c r="K2060" s="465" t="e">
        <v>#N/A</v>
      </c>
      <c r="L2060" s="464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str">
        <f t="shared" si="64"/>
        <v>SEVROLL ERGO UCH.LIŠTA.2,70m oliva new</v>
      </c>
      <c r="C2061" s="185" t="e">
        <f t="shared" si="65"/>
        <v>#N/A</v>
      </c>
      <c r="D2061" s="409" t="s">
        <v>1616</v>
      </c>
      <c r="E2061" s="409" t="s">
        <v>2043</v>
      </c>
      <c r="F2061" s="409" t="s">
        <v>2234</v>
      </c>
      <c r="G2061" s="409" t="s">
        <v>6102</v>
      </c>
      <c r="H2061" s="465" t="e">
        <v>#N/A</v>
      </c>
      <c r="I2061" s="465" t="e">
        <v>#N/A</v>
      </c>
      <c r="J2061" s="465" t="e">
        <v>#N/A</v>
      </c>
      <c r="K2061" s="465" t="e">
        <v>#N/A</v>
      </c>
      <c r="L2061" s="464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str">
        <f t="shared" si="64"/>
        <v>SEVROLL FIRST HOR/SPOD VED. 1,8 M oliva new</v>
      </c>
      <c r="C2062" s="185" t="e">
        <f t="shared" si="65"/>
        <v>#N/A</v>
      </c>
      <c r="D2062" s="409" t="s">
        <v>1617</v>
      </c>
      <c r="E2062" s="409" t="s">
        <v>2044</v>
      </c>
      <c r="F2062" s="409" t="s">
        <v>2235</v>
      </c>
      <c r="G2062" s="409" t="s">
        <v>2529</v>
      </c>
      <c r="H2062" s="465" t="e">
        <v>#N/A</v>
      </c>
      <c r="I2062" s="465" t="e">
        <v>#N/A</v>
      </c>
      <c r="J2062" s="465" t="e">
        <v>#N/A</v>
      </c>
      <c r="K2062" s="465" t="e">
        <v>#N/A</v>
      </c>
      <c r="L2062" s="464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str">
        <f t="shared" si="64"/>
        <v>SEVROLL SPOD.VED. DOUBLER II 1,7M oliva new</v>
      </c>
      <c r="C2063" s="185" t="e">
        <f t="shared" si="65"/>
        <v>#N/A</v>
      </c>
      <c r="D2063" s="409" t="s">
        <v>1618</v>
      </c>
      <c r="E2063" s="409" t="s">
        <v>2045</v>
      </c>
      <c r="F2063" s="409" t="s">
        <v>2236</v>
      </c>
      <c r="G2063" s="409" t="s">
        <v>2530</v>
      </c>
      <c r="H2063" s="465" t="e">
        <v>#N/A</v>
      </c>
      <c r="I2063" s="465" t="e">
        <v>#N/A</v>
      </c>
      <c r="J2063" s="465" t="e">
        <v>#N/A</v>
      </c>
      <c r="K2063" s="465" t="e">
        <v>#N/A</v>
      </c>
      <c r="L2063" s="464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str">
        <f t="shared" si="64"/>
        <v>SEVROLL SPOD.VED. DOUBLER II 2,35M oliva new</v>
      </c>
      <c r="C2064" s="185" t="e">
        <f t="shared" si="65"/>
        <v>#N/A</v>
      </c>
      <c r="D2064" s="409" t="s">
        <v>1619</v>
      </c>
      <c r="E2064" s="409" t="s">
        <v>2046</v>
      </c>
      <c r="F2064" s="409" t="s">
        <v>2237</v>
      </c>
      <c r="G2064" s="409" t="s">
        <v>2531</v>
      </c>
      <c r="H2064" s="465" t="e">
        <v>#N/A</v>
      </c>
      <c r="I2064" s="465" t="e">
        <v>#N/A</v>
      </c>
      <c r="J2064" s="465" t="e">
        <v>#N/A</v>
      </c>
      <c r="K2064" s="465" t="e">
        <v>#N/A</v>
      </c>
      <c r="L2064" s="464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str">
        <f t="shared" si="64"/>
        <v>SEVROLL SPOD.VED. DOUBLER II 3M oliva new</v>
      </c>
      <c r="C2065" s="185" t="e">
        <f t="shared" si="65"/>
        <v>#N/A</v>
      </c>
      <c r="D2065" s="409" t="s">
        <v>1620</v>
      </c>
      <c r="E2065" s="409" t="s">
        <v>2047</v>
      </c>
      <c r="F2065" s="409" t="s">
        <v>2238</v>
      </c>
      <c r="G2065" s="409" t="s">
        <v>2532</v>
      </c>
      <c r="H2065" s="465" t="e">
        <v>#N/A</v>
      </c>
      <c r="I2065" s="465" t="e">
        <v>#N/A</v>
      </c>
      <c r="J2065" s="465" t="e">
        <v>#N/A</v>
      </c>
      <c r="K2065" s="465" t="e">
        <v>#N/A</v>
      </c>
      <c r="L2065" s="464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str">
        <f t="shared" si="64"/>
        <v>SEVROLL SPOD.VED. DOUBLER II 4,05M oliva new</v>
      </c>
      <c r="C2066" s="185" t="e">
        <f t="shared" si="65"/>
        <v>#N/A</v>
      </c>
      <c r="D2066" s="409" t="s">
        <v>1621</v>
      </c>
      <c r="E2066" s="409" t="s">
        <v>2048</v>
      </c>
      <c r="F2066" s="409" t="s">
        <v>2239</v>
      </c>
      <c r="G2066" s="409" t="s">
        <v>2533</v>
      </c>
      <c r="H2066" s="465" t="e">
        <v>#N/A</v>
      </c>
      <c r="I2066" s="465" t="e">
        <v>#N/A</v>
      </c>
      <c r="J2066" s="465" t="e">
        <v>#N/A</v>
      </c>
      <c r="K2066" s="465" t="e">
        <v>#N/A</v>
      </c>
      <c r="L2066" s="464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str">
        <f t="shared" si="64"/>
        <v>SEVROLL SPOD.VED. DOUBLER II 6M oliva new</v>
      </c>
      <c r="C2067" s="185" t="e">
        <f t="shared" si="65"/>
        <v>#N/A</v>
      </c>
      <c r="D2067" s="409" t="s">
        <v>1622</v>
      </c>
      <c r="E2067" s="409" t="s">
        <v>2049</v>
      </c>
      <c r="F2067" s="409" t="s">
        <v>2240</v>
      </c>
      <c r="G2067" s="409" t="s">
        <v>2534</v>
      </c>
      <c r="H2067" s="465" t="e">
        <v>#N/A</v>
      </c>
      <c r="I2067" s="465" t="e">
        <v>#N/A</v>
      </c>
      <c r="J2067" s="465" t="e">
        <v>#N/A</v>
      </c>
      <c r="K2067" s="465" t="e">
        <v>#N/A</v>
      </c>
      <c r="L2067" s="464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str">
        <f t="shared" si="64"/>
        <v>SEVROLL MASKA DOUBLER II 1,7 M oliva new</v>
      </c>
      <c r="C2068" s="185" t="e">
        <f t="shared" si="65"/>
        <v>#N/A</v>
      </c>
      <c r="D2068" s="409" t="s">
        <v>1623</v>
      </c>
      <c r="E2068" s="409" t="s">
        <v>2050</v>
      </c>
      <c r="F2068" s="409" t="s">
        <v>2241</v>
      </c>
      <c r="G2068" s="409" t="s">
        <v>2535</v>
      </c>
      <c r="H2068" s="465" t="e">
        <v>#N/A</v>
      </c>
      <c r="I2068" s="465" t="e">
        <v>#N/A</v>
      </c>
      <c r="J2068" s="465" t="e">
        <v>#N/A</v>
      </c>
      <c r="K2068" s="465" t="e">
        <v>#N/A</v>
      </c>
      <c r="L2068" s="464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str">
        <f t="shared" si="64"/>
        <v>SEVROLL MASKA DOUBLER II 2,35 M oliva new</v>
      </c>
      <c r="C2069" s="185" t="e">
        <f t="shared" si="65"/>
        <v>#N/A</v>
      </c>
      <c r="D2069" s="409" t="s">
        <v>1624</v>
      </c>
      <c r="E2069" s="409" t="s">
        <v>2051</v>
      </c>
      <c r="F2069" s="409" t="s">
        <v>2242</v>
      </c>
      <c r="G2069" s="409" t="s">
        <v>2536</v>
      </c>
      <c r="H2069" s="465" t="e">
        <v>#N/A</v>
      </c>
      <c r="I2069" s="465" t="e">
        <v>#N/A</v>
      </c>
      <c r="J2069" s="465" t="e">
        <v>#N/A</v>
      </c>
      <c r="K2069" s="465" t="e">
        <v>#N/A</v>
      </c>
      <c r="L2069" s="464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str">
        <f t="shared" si="64"/>
        <v>SEVROLL MASKA DOUBLER II 3 M oliva new</v>
      </c>
      <c r="C2070" s="185" t="e">
        <f t="shared" si="65"/>
        <v>#N/A</v>
      </c>
      <c r="D2070" s="409" t="s">
        <v>1625</v>
      </c>
      <c r="E2070" s="409" t="s">
        <v>2052</v>
      </c>
      <c r="F2070" s="409" t="s">
        <v>2243</v>
      </c>
      <c r="G2070" s="409" t="s">
        <v>2537</v>
      </c>
      <c r="H2070" s="465" t="e">
        <v>#N/A</v>
      </c>
      <c r="I2070" s="465" t="e">
        <v>#N/A</v>
      </c>
      <c r="J2070" s="465" t="e">
        <v>#N/A</v>
      </c>
      <c r="K2070" s="465" t="e">
        <v>#N/A</v>
      </c>
      <c r="L2070" s="464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str">
        <f t="shared" si="64"/>
        <v>SEVROLL MASKA DOUBLER II 4,05 M oliva new</v>
      </c>
      <c r="C2071" s="185" t="e">
        <f t="shared" si="65"/>
        <v>#N/A</v>
      </c>
      <c r="D2071" s="409" t="s">
        <v>1626</v>
      </c>
      <c r="E2071" s="409" t="s">
        <v>2053</v>
      </c>
      <c r="F2071" s="409" t="s">
        <v>2244</v>
      </c>
      <c r="G2071" s="409" t="s">
        <v>2538</v>
      </c>
      <c r="H2071" s="465" t="e">
        <v>#N/A</v>
      </c>
      <c r="I2071" s="465" t="e">
        <v>#N/A</v>
      </c>
      <c r="J2071" s="465" t="e">
        <v>#N/A</v>
      </c>
      <c r="K2071" s="465" t="e">
        <v>#N/A</v>
      </c>
      <c r="L2071" s="464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str">
        <f t="shared" si="64"/>
        <v>SEVROLL MASKA DOUBLER II 6 M oliva new</v>
      </c>
      <c r="C2072" s="185" t="e">
        <f t="shared" si="65"/>
        <v>#N/A</v>
      </c>
      <c r="D2072" s="409" t="s">
        <v>1627</v>
      </c>
      <c r="E2072" s="409" t="s">
        <v>2054</v>
      </c>
      <c r="F2072" s="409" t="s">
        <v>2245</v>
      </c>
      <c r="G2072" s="409" t="s">
        <v>2539</v>
      </c>
      <c r="H2072" s="465" t="e">
        <v>#N/A</v>
      </c>
      <c r="I2072" s="465" t="e">
        <v>#N/A</v>
      </c>
      <c r="J2072" s="465" t="e">
        <v>#N/A</v>
      </c>
      <c r="K2072" s="465" t="e">
        <v>#N/A</v>
      </c>
      <c r="L2072" s="464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str">
        <f t="shared" si="64"/>
        <v>SEVROLL Future II úchytová lišta 3,5m oliva new</v>
      </c>
      <c r="C2073" s="185" t="e">
        <f t="shared" si="65"/>
        <v>#N/A</v>
      </c>
      <c r="D2073" s="409" t="s">
        <v>1628</v>
      </c>
      <c r="E2073" s="409" t="s">
        <v>2055</v>
      </c>
      <c r="F2073" s="409" t="s">
        <v>2246</v>
      </c>
      <c r="G2073" s="409" t="s">
        <v>2540</v>
      </c>
      <c r="H2073" s="465" t="e">
        <v>#N/A</v>
      </c>
      <c r="I2073" s="465" t="e">
        <v>#N/A</v>
      </c>
      <c r="J2073" s="465" t="e">
        <v>#N/A</v>
      </c>
      <c r="K2073" s="465" t="e">
        <v>#N/A</v>
      </c>
      <c r="L2073" s="464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str">
        <f t="shared" si="64"/>
        <v>SEVROLL Future II úchytová lišta 2,7m oliva new</v>
      </c>
      <c r="C2074" s="185" t="e">
        <f t="shared" si="65"/>
        <v>#N/A</v>
      </c>
      <c r="D2074" s="409" t="s">
        <v>1629</v>
      </c>
      <c r="E2074" s="409" t="s">
        <v>2056</v>
      </c>
      <c r="F2074" s="409" t="s">
        <v>2247</v>
      </c>
      <c r="G2074" s="409" t="s">
        <v>2541</v>
      </c>
      <c r="H2074" s="465" t="e">
        <v>#N/A</v>
      </c>
      <c r="I2074" s="465" t="e">
        <v>#N/A</v>
      </c>
      <c r="J2074" s="465" t="e">
        <v>#N/A</v>
      </c>
      <c r="K2074" s="465" t="e">
        <v>#N/A</v>
      </c>
      <c r="L2074" s="464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str">
        <f t="shared" si="64"/>
        <v>SEVROLL FIRST HOR/SPOD VED. 3 M oliva new</v>
      </c>
      <c r="C2075" s="185" t="e">
        <f t="shared" si="65"/>
        <v>#N/A</v>
      </c>
      <c r="D2075" s="409" t="s">
        <v>1630</v>
      </c>
      <c r="E2075" s="409" t="s">
        <v>2057</v>
      </c>
      <c r="F2075" s="409" t="s">
        <v>2248</v>
      </c>
      <c r="G2075" s="409" t="s">
        <v>2542</v>
      </c>
      <c r="H2075" s="465" t="e">
        <v>#N/A</v>
      </c>
      <c r="I2075" s="465" t="e">
        <v>#N/A</v>
      </c>
      <c r="J2075" s="465" t="e">
        <v>#N/A</v>
      </c>
      <c r="K2075" s="465" t="e">
        <v>#N/A</v>
      </c>
      <c r="L2075" s="464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str">
        <f t="shared" si="64"/>
        <v>SEVROLL Micra horné/spodné vedenie 1,7m oliva new</v>
      </c>
      <c r="C2076" s="185" t="e">
        <f t="shared" si="65"/>
        <v>#N/A</v>
      </c>
      <c r="D2076" s="409" t="s">
        <v>1631</v>
      </c>
      <c r="E2076" s="409" t="s">
        <v>2058</v>
      </c>
      <c r="F2076" s="409" t="s">
        <v>2249</v>
      </c>
      <c r="G2076" s="409" t="s">
        <v>2543</v>
      </c>
      <c r="H2076" s="465" t="e">
        <v>#N/A</v>
      </c>
      <c r="I2076" s="465" t="e">
        <v>#N/A</v>
      </c>
      <c r="J2076" s="465" t="e">
        <v>#N/A</v>
      </c>
      <c r="K2076" s="465" t="e">
        <v>#N/A</v>
      </c>
      <c r="L2076" s="464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str">
        <f t="shared" si="64"/>
        <v>SEVROLL Micra horné/spodné vedenie 2,35m oliva new</v>
      </c>
      <c r="C2077" s="185" t="e">
        <f t="shared" si="65"/>
        <v>#N/A</v>
      </c>
      <c r="D2077" s="409" t="s">
        <v>1632</v>
      </c>
      <c r="E2077" s="409" t="s">
        <v>2059</v>
      </c>
      <c r="F2077" s="409" t="s">
        <v>2250</v>
      </c>
      <c r="G2077" s="409" t="s">
        <v>2544</v>
      </c>
      <c r="H2077" s="465" t="e">
        <v>#N/A</v>
      </c>
      <c r="I2077" s="465" t="e">
        <v>#N/A</v>
      </c>
      <c r="J2077" s="465" t="e">
        <v>#N/A</v>
      </c>
      <c r="K2077" s="465" t="e">
        <v>#N/A</v>
      </c>
      <c r="L2077" s="464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str">
        <f t="shared" si="64"/>
        <v>SEVROLL Top horné vedenie jednoduché 3m oliva new</v>
      </c>
      <c r="C2078" s="185" t="e">
        <f t="shared" si="65"/>
        <v>#N/A</v>
      </c>
      <c r="D2078" s="409" t="s">
        <v>1633</v>
      </c>
      <c r="E2078" s="409" t="s">
        <v>2060</v>
      </c>
      <c r="F2078" s="409" t="s">
        <v>2251</v>
      </c>
      <c r="G2078" s="409" t="s">
        <v>2545</v>
      </c>
      <c r="H2078" s="465" t="e">
        <v>#N/A</v>
      </c>
      <c r="I2078" s="465" t="e">
        <v>#N/A</v>
      </c>
      <c r="J2078" s="465" t="e">
        <v>#N/A</v>
      </c>
      <c r="K2078" s="465" t="e">
        <v>#N/A</v>
      </c>
      <c r="L2078" s="464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str">
        <f t="shared" si="64"/>
        <v>SEVROLL Top horné vedenie jednoduché 6m oliva new</v>
      </c>
      <c r="C2079" s="185" t="e">
        <f t="shared" si="65"/>
        <v>#N/A</v>
      </c>
      <c r="D2079" s="409" t="s">
        <v>1634</v>
      </c>
      <c r="E2079" s="409" t="s">
        <v>2061</v>
      </c>
      <c r="F2079" s="409" t="s">
        <v>2252</v>
      </c>
      <c r="G2079" s="409" t="s">
        <v>2546</v>
      </c>
      <c r="H2079" s="465" t="e">
        <v>#N/A</v>
      </c>
      <c r="I2079" s="465" t="e">
        <v>#N/A</v>
      </c>
      <c r="J2079" s="465" t="e">
        <v>#N/A</v>
      </c>
      <c r="K2079" s="465" t="e">
        <v>#N/A</v>
      </c>
      <c r="L2079" s="464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str">
        <f t="shared" si="64"/>
        <v>SEVROLL Star úchytová lišta 2,7m oliva new</v>
      </c>
      <c r="C2080" s="185" t="e">
        <f t="shared" si="65"/>
        <v>#N/A</v>
      </c>
      <c r="D2080" s="409" t="s">
        <v>1635</v>
      </c>
      <c r="E2080" s="409" t="s">
        <v>2062</v>
      </c>
      <c r="F2080" s="409" t="s">
        <v>2253</v>
      </c>
      <c r="G2080" s="409" t="s">
        <v>2547</v>
      </c>
      <c r="H2080" s="465" t="e">
        <v>#N/A</v>
      </c>
      <c r="I2080" s="465" t="e">
        <v>#N/A</v>
      </c>
      <c r="J2080" s="465" t="e">
        <v>#N/A</v>
      </c>
      <c r="K2080" s="465" t="e">
        <v>#N/A</v>
      </c>
      <c r="L2080" s="464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str">
        <f t="shared" si="64"/>
        <v>SEVROLL Beta 18 úchytová lišta 2,70m oliva new</v>
      </c>
      <c r="C2081" s="185" t="e">
        <f t="shared" si="65"/>
        <v>#N/A</v>
      </c>
      <c r="D2081" s="409" t="s">
        <v>1636</v>
      </c>
      <c r="E2081" s="409" t="s">
        <v>2063</v>
      </c>
      <c r="F2081" s="409" t="s">
        <v>2254</v>
      </c>
      <c r="G2081" s="409" t="s">
        <v>2548</v>
      </c>
      <c r="H2081" s="465" t="e">
        <v>#N/A</v>
      </c>
      <c r="I2081" s="465" t="e">
        <v>#N/A</v>
      </c>
      <c r="J2081" s="465" t="e">
        <v>#N/A</v>
      </c>
      <c r="K2081" s="465" t="e">
        <v>#N/A</v>
      </c>
      <c r="L2081" s="464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str">
        <f t="shared" si="64"/>
        <v>SEVROLL Comfort spodné vedenie 1,7m oliva new</v>
      </c>
      <c r="C2082" s="185" t="e">
        <f t="shared" si="65"/>
        <v>#N/A</v>
      </c>
      <c r="D2082" s="409" t="s">
        <v>1637</v>
      </c>
      <c r="E2082" s="409" t="s">
        <v>2064</v>
      </c>
      <c r="F2082" s="409" t="s">
        <v>2255</v>
      </c>
      <c r="G2082" s="409" t="s">
        <v>2549</v>
      </c>
      <c r="H2082" s="465" t="e">
        <v>#N/A</v>
      </c>
      <c r="I2082" s="465" t="e">
        <v>#N/A</v>
      </c>
      <c r="J2082" s="465" t="e">
        <v>#N/A</v>
      </c>
      <c r="K2082" s="465" t="e">
        <v>#N/A</v>
      </c>
      <c r="L2082" s="464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str">
        <f t="shared" si="64"/>
        <v>SEVROLL Comfort spodné vedenie 3m oliva new</v>
      </c>
      <c r="C2083" s="185" t="e">
        <f t="shared" si="65"/>
        <v>#N/A</v>
      </c>
      <c r="D2083" s="409" t="s">
        <v>1638</v>
      </c>
      <c r="E2083" s="409" t="s">
        <v>2065</v>
      </c>
      <c r="F2083" s="409" t="s">
        <v>2256</v>
      </c>
      <c r="G2083" s="409" t="s">
        <v>2550</v>
      </c>
      <c r="H2083" s="465" t="e">
        <v>#N/A</v>
      </c>
      <c r="I2083" s="465" t="e">
        <v>#N/A</v>
      </c>
      <c r="J2083" s="465" t="e">
        <v>#N/A</v>
      </c>
      <c r="K2083" s="465" t="e">
        <v>#N/A</v>
      </c>
      <c r="L2083" s="464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str">
        <f t="shared" si="64"/>
        <v>SEVROLL 04529-A Alfa II úchytová lišta 18mm 2,70m oliva new</v>
      </c>
      <c r="C2084" s="185" t="e">
        <f t="shared" si="65"/>
        <v>#N/A</v>
      </c>
      <c r="D2084" s="409" t="s">
        <v>1639</v>
      </c>
      <c r="E2084" s="409" t="s">
        <v>2066</v>
      </c>
      <c r="F2084" s="409" t="s">
        <v>1639</v>
      </c>
      <c r="G2084" s="409" t="s">
        <v>2551</v>
      </c>
      <c r="H2084" s="465" t="e">
        <v>#N/A</v>
      </c>
      <c r="I2084" s="465" t="e">
        <v>#N/A</v>
      </c>
      <c r="J2084" s="465" t="e">
        <v>#N/A</v>
      </c>
      <c r="K2084" s="465" t="e">
        <v>#N/A</v>
      </c>
      <c r="L2084" s="464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str">
        <f t="shared" si="64"/>
        <v>SEVROLL karat úchytová lišta 2,7m oliva new</v>
      </c>
      <c r="C2085" s="185" t="e">
        <f t="shared" si="65"/>
        <v>#N/A</v>
      </c>
      <c r="D2085" s="409" t="s">
        <v>1640</v>
      </c>
      <c r="E2085" s="409" t="s">
        <v>2067</v>
      </c>
      <c r="F2085" s="409" t="s">
        <v>2257</v>
      </c>
      <c r="G2085" s="409" t="s">
        <v>2552</v>
      </c>
      <c r="H2085" s="465" t="e">
        <v>#N/A</v>
      </c>
      <c r="I2085" s="465" t="e">
        <v>#N/A</v>
      </c>
      <c r="J2085" s="465" t="e">
        <v>#N/A</v>
      </c>
      <c r="K2085" s="465" t="e">
        <v>#N/A</v>
      </c>
      <c r="L2085" s="464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str">
        <f t="shared" si="64"/>
        <v>SEVROLL spojovacia lišta H10 Decor 3m oliva new</v>
      </c>
      <c r="C2086" s="185" t="e">
        <f t="shared" si="65"/>
        <v>#N/A</v>
      </c>
      <c r="D2086" s="409" t="s">
        <v>1641</v>
      </c>
      <c r="E2086" s="409" t="s">
        <v>2068</v>
      </c>
      <c r="F2086" s="409" t="s">
        <v>2258</v>
      </c>
      <c r="G2086" s="409" t="s">
        <v>2553</v>
      </c>
      <c r="H2086" s="465" t="e">
        <v>#N/A</v>
      </c>
      <c r="I2086" s="465" t="e">
        <v>#N/A</v>
      </c>
      <c r="J2086" s="465" t="e">
        <v>#N/A</v>
      </c>
      <c r="K2086" s="465" t="e">
        <v>#N/A</v>
      </c>
      <c r="L2086" s="464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str">
        <f t="shared" si="64"/>
        <v>SEVROLL Comfort horné vedenie 6m oliva new</v>
      </c>
      <c r="C2087" s="185" t="e">
        <f t="shared" si="65"/>
        <v>#N/A</v>
      </c>
      <c r="D2087" s="409" t="s">
        <v>1642</v>
      </c>
      <c r="E2087" s="409" t="s">
        <v>2069</v>
      </c>
      <c r="F2087" s="409" t="s">
        <v>2259</v>
      </c>
      <c r="G2087" s="409" t="s">
        <v>2554</v>
      </c>
      <c r="H2087" s="465" t="e">
        <v>#N/A</v>
      </c>
      <c r="I2087" s="465" t="e">
        <v>#N/A</v>
      </c>
      <c r="J2087" s="465" t="e">
        <v>#N/A</v>
      </c>
      <c r="K2087" s="465" t="e">
        <v>#N/A</v>
      </c>
      <c r="L2087" s="464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str">
        <f t="shared" si="64"/>
        <v>SEVROLL spojovacia lišta H16 3m oliva new</v>
      </c>
      <c r="C2088" s="185" t="e">
        <f t="shared" si="65"/>
        <v>#N/A</v>
      </c>
      <c r="D2088" s="409" t="s">
        <v>1643</v>
      </c>
      <c r="E2088" s="409" t="s">
        <v>2070</v>
      </c>
      <c r="F2088" s="409" t="s">
        <v>2260</v>
      </c>
      <c r="G2088" s="409" t="s">
        <v>2555</v>
      </c>
      <c r="H2088" s="465" t="e">
        <v>#N/A</v>
      </c>
      <c r="I2088" s="465" t="e">
        <v>#N/A</v>
      </c>
      <c r="J2088" s="465" t="e">
        <v>#N/A</v>
      </c>
      <c r="K2088" s="465" t="e">
        <v>#N/A</v>
      </c>
      <c r="L2088" s="464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str">
        <f t="shared" si="64"/>
        <v>SEVROLL spojovacia lišta H08/16 3m oliva new</v>
      </c>
      <c r="C2089" s="185" t="e">
        <f t="shared" si="65"/>
        <v>#N/A</v>
      </c>
      <c r="D2089" s="409" t="s">
        <v>1644</v>
      </c>
      <c r="E2089" s="409" t="s">
        <v>2071</v>
      </c>
      <c r="F2089" s="409" t="s">
        <v>2261</v>
      </c>
      <c r="G2089" s="409" t="s">
        <v>2556</v>
      </c>
      <c r="H2089" s="465" t="e">
        <v>#N/A</v>
      </c>
      <c r="I2089" s="465" t="e">
        <v>#N/A</v>
      </c>
      <c r="J2089" s="465" t="e">
        <v>#N/A</v>
      </c>
      <c r="K2089" s="465" t="e">
        <v>#N/A</v>
      </c>
      <c r="L2089" s="464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str">
        <f t="shared" si="64"/>
        <v>SEVROLL Maxim horné vedenie 4,3m oliva new</v>
      </c>
      <c r="C2090" s="185" t="e">
        <f t="shared" si="65"/>
        <v>#N/A</v>
      </c>
      <c r="D2090" s="409" t="s">
        <v>1645</v>
      </c>
      <c r="E2090" s="409" t="s">
        <v>2072</v>
      </c>
      <c r="F2090" s="409" t="s">
        <v>2262</v>
      </c>
      <c r="G2090" s="409" t="s">
        <v>2557</v>
      </c>
      <c r="H2090" s="465" t="e">
        <v>#N/A</v>
      </c>
      <c r="I2090" s="465" t="e">
        <v>#N/A</v>
      </c>
      <c r="J2090" s="465" t="e">
        <v>#N/A</v>
      </c>
      <c r="K2090" s="465" t="e">
        <v>#N/A</v>
      </c>
      <c r="L2090" s="464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str">
        <f t="shared" si="64"/>
        <v>SEVROLL Maxim vodiaca lišta 4,3m oliva new</v>
      </c>
      <c r="C2091" s="185" t="e">
        <f t="shared" si="65"/>
        <v>#N/A</v>
      </c>
      <c r="D2091" s="409" t="s">
        <v>1646</v>
      </c>
      <c r="E2091" s="409" t="s">
        <v>2073</v>
      </c>
      <c r="F2091" s="409" t="s">
        <v>2263</v>
      </c>
      <c r="G2091" s="409" t="s">
        <v>2558</v>
      </c>
      <c r="H2091" s="465" t="e">
        <v>#N/A</v>
      </c>
      <c r="I2091" s="465" t="e">
        <v>#N/A</v>
      </c>
      <c r="J2091" s="465" t="e">
        <v>#N/A</v>
      </c>
      <c r="K2091" s="465" t="e">
        <v>#N/A</v>
      </c>
      <c r="L2091" s="464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str">
        <f t="shared" si="64"/>
        <v>SEVROLL Oaza II úch. Lišta 2,7m oliva new</v>
      </c>
      <c r="C2092" s="185" t="e">
        <f t="shared" si="65"/>
        <v>#N/A</v>
      </c>
      <c r="D2092" s="409" t="s">
        <v>1647</v>
      </c>
      <c r="E2092" s="409" t="s">
        <v>2074</v>
      </c>
      <c r="F2092" s="409" t="s">
        <v>2264</v>
      </c>
      <c r="G2092" s="409" t="s">
        <v>2559</v>
      </c>
      <c r="H2092" s="465" t="e">
        <v>#N/A</v>
      </c>
      <c r="I2092" s="465" t="e">
        <v>#N/A</v>
      </c>
      <c r="J2092" s="465" t="e">
        <v>#N/A</v>
      </c>
      <c r="K2092" s="465" t="e">
        <v>#N/A</v>
      </c>
      <c r="L2092" s="464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str">
        <f t="shared" si="64"/>
        <v>SEVROLL Maxim vodiaca lišta 2,5m oliva new</v>
      </c>
      <c r="C2093" s="185" t="e">
        <f t="shared" si="65"/>
        <v>#N/A</v>
      </c>
      <c r="D2093" s="409" t="s">
        <v>1648</v>
      </c>
      <c r="E2093" s="409" t="s">
        <v>2075</v>
      </c>
      <c r="F2093" s="409" t="s">
        <v>2265</v>
      </c>
      <c r="G2093" s="409" t="s">
        <v>2560</v>
      </c>
      <c r="H2093" s="465" t="e">
        <v>#N/A</v>
      </c>
      <c r="I2093" s="465" t="e">
        <v>#N/A</v>
      </c>
      <c r="J2093" s="465" t="e">
        <v>#N/A</v>
      </c>
      <c r="K2093" s="465" t="e">
        <v>#N/A</v>
      </c>
      <c r="L2093" s="464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str">
        <f t="shared" si="64"/>
        <v>SEVROLL Fala úchytová lišta 10mm 2,70m oliva new</v>
      </c>
      <c r="C2094" s="185" t="e">
        <f t="shared" si="65"/>
        <v>#N/A</v>
      </c>
      <c r="D2094" s="409" t="s">
        <v>1649</v>
      </c>
      <c r="E2094" s="409" t="s">
        <v>2076</v>
      </c>
      <c r="F2094" s="409" t="s">
        <v>2266</v>
      </c>
      <c r="G2094" s="409" t="s">
        <v>6103</v>
      </c>
      <c r="H2094" s="465" t="e">
        <v>#N/A</v>
      </c>
      <c r="I2094" s="465" t="e">
        <v>#N/A</v>
      </c>
      <c r="J2094" s="465" t="e">
        <v>#N/A</v>
      </c>
      <c r="K2094" s="465" t="e">
        <v>#N/A</v>
      </c>
      <c r="L2094" s="464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str">
        <f t="shared" si="64"/>
        <v>SEVROLL Polo úchytová lišta 10mm 2,7m oliva new</v>
      </c>
      <c r="C2095" s="185" t="e">
        <f t="shared" si="65"/>
        <v>#N/A</v>
      </c>
      <c r="D2095" s="409" t="s">
        <v>1650</v>
      </c>
      <c r="E2095" s="409" t="s">
        <v>2077</v>
      </c>
      <c r="F2095" s="409" t="s">
        <v>2267</v>
      </c>
      <c r="G2095" s="409" t="s">
        <v>6104</v>
      </c>
      <c r="H2095" s="465" t="e">
        <v>#N/A</v>
      </c>
      <c r="I2095" s="465" t="e">
        <v>#N/A</v>
      </c>
      <c r="J2095" s="465" t="e">
        <v>#N/A</v>
      </c>
      <c r="K2095" s="465" t="e">
        <v>#N/A</v>
      </c>
      <c r="L2095" s="464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str">
        <f t="shared" si="64"/>
        <v>SEVROLL Simple horné vedenie 6m oliva new</v>
      </c>
      <c r="C2096" s="185" t="e">
        <f t="shared" si="65"/>
        <v>#N/A</v>
      </c>
      <c r="D2096" s="409" t="s">
        <v>1651</v>
      </c>
      <c r="E2096" s="409" t="s">
        <v>2078</v>
      </c>
      <c r="F2096" s="409" t="s">
        <v>2268</v>
      </c>
      <c r="G2096" s="409" t="s">
        <v>2561</v>
      </c>
      <c r="H2096" s="465" t="e">
        <v>#N/A</v>
      </c>
      <c r="I2096" s="465" t="e">
        <v>#N/A</v>
      </c>
      <c r="J2096" s="465" t="e">
        <v>#N/A</v>
      </c>
      <c r="K2096" s="465" t="e">
        <v>#N/A</v>
      </c>
      <c r="L2096" s="464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str">
        <f t="shared" si="64"/>
        <v>SEVROLL Simple spodné vedenie 6m oliva new</v>
      </c>
      <c r="C2097" s="185" t="e">
        <f t="shared" si="65"/>
        <v>#N/A</v>
      </c>
      <c r="D2097" s="409" t="s">
        <v>1652</v>
      </c>
      <c r="E2097" s="409" t="s">
        <v>2079</v>
      </c>
      <c r="F2097" s="409" t="s">
        <v>2269</v>
      </c>
      <c r="G2097" s="409" t="s">
        <v>2562</v>
      </c>
      <c r="H2097" s="465" t="e">
        <v>#N/A</v>
      </c>
      <c r="I2097" s="465" t="e">
        <v>#N/A</v>
      </c>
      <c r="J2097" s="465" t="e">
        <v>#N/A</v>
      </c>
      <c r="K2097" s="465" t="e">
        <v>#N/A</v>
      </c>
      <c r="L2097" s="464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str">
        <f t="shared" si="64"/>
        <v>SEVROLL 04444-M spojovacia lišta Simple/Blue H28 3m (pre lamino 18mm) oliva new</v>
      </c>
      <c r="C2098" s="185" t="e">
        <f t="shared" si="65"/>
        <v>#N/A</v>
      </c>
      <c r="D2098" s="409" t="s">
        <v>1653</v>
      </c>
      <c r="E2098" s="409" t="s">
        <v>2080</v>
      </c>
      <c r="F2098" s="409" t="s">
        <v>6105</v>
      </c>
      <c r="G2098" s="409" t="s">
        <v>2563</v>
      </c>
      <c r="H2098" s="465" t="e">
        <v>#N/A</v>
      </c>
      <c r="I2098" s="465" t="e">
        <v>#N/A</v>
      </c>
      <c r="J2098" s="465" t="e">
        <v>#N/A</v>
      </c>
      <c r="K2098" s="465" t="e">
        <v>#N/A</v>
      </c>
      <c r="L2098" s="464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str">
        <f t="shared" si="64"/>
        <v>SEVROLL spodná krycia lišta Simple/Blue 3m (pre lamino 10mm) oliva new</v>
      </c>
      <c r="C2099" s="185" t="e">
        <f t="shared" si="65"/>
        <v>#N/A</v>
      </c>
      <c r="D2099" s="409" t="s">
        <v>1654</v>
      </c>
      <c r="E2099" s="409" t="s">
        <v>2081</v>
      </c>
      <c r="F2099" s="409" t="s">
        <v>2270</v>
      </c>
      <c r="G2099" s="409" t="s">
        <v>2564</v>
      </c>
      <c r="H2099" s="465" t="e">
        <v>#N/A</v>
      </c>
      <c r="I2099" s="465" t="e">
        <v>#N/A</v>
      </c>
      <c r="J2099" s="465" t="e">
        <v>#N/A</v>
      </c>
      <c r="K2099" s="465" t="e">
        <v>#N/A</v>
      </c>
      <c r="L2099" s="464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str">
        <f t="shared" si="64"/>
        <v>SEVROLL Simple horné vedenie 1,5m oliva new</v>
      </c>
      <c r="C2100" s="185" t="e">
        <f t="shared" si="65"/>
        <v>#N/A</v>
      </c>
      <c r="D2100" s="409" t="s">
        <v>1655</v>
      </c>
      <c r="E2100" s="409" t="s">
        <v>2082</v>
      </c>
      <c r="F2100" s="409" t="s">
        <v>2271</v>
      </c>
      <c r="G2100" s="409" t="s">
        <v>2565</v>
      </c>
      <c r="H2100" s="465" t="e">
        <v>#N/A</v>
      </c>
      <c r="I2100" s="465" t="e">
        <v>#N/A</v>
      </c>
      <c r="J2100" s="465" t="e">
        <v>#N/A</v>
      </c>
      <c r="K2100" s="465" t="e">
        <v>#N/A</v>
      </c>
      <c r="L2100" s="464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str">
        <f t="shared" si="64"/>
        <v>SEVROLL Simple horné vedenie 2m oliva new</v>
      </c>
      <c r="C2101" s="185" t="e">
        <f t="shared" si="65"/>
        <v>#N/A</v>
      </c>
      <c r="D2101" s="409" t="s">
        <v>1656</v>
      </c>
      <c r="E2101" s="409" t="s">
        <v>2083</v>
      </c>
      <c r="F2101" s="409" t="s">
        <v>2272</v>
      </c>
      <c r="G2101" s="409" t="s">
        <v>2566</v>
      </c>
      <c r="H2101" s="465" t="e">
        <v>#N/A</v>
      </c>
      <c r="I2101" s="465" t="e">
        <v>#N/A</v>
      </c>
      <c r="J2101" s="465" t="e">
        <v>#N/A</v>
      </c>
      <c r="K2101" s="465" t="e">
        <v>#N/A</v>
      </c>
      <c r="L2101" s="464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str">
        <f t="shared" si="64"/>
        <v>SEVROLL Simple horné vedenie 2,5m oliva new</v>
      </c>
      <c r="C2102" s="185" t="e">
        <f t="shared" si="65"/>
        <v>#N/A</v>
      </c>
      <c r="D2102" s="409" t="s">
        <v>1657</v>
      </c>
      <c r="E2102" s="409" t="s">
        <v>2084</v>
      </c>
      <c r="F2102" s="409" t="s">
        <v>2273</v>
      </c>
      <c r="G2102" s="409" t="s">
        <v>2567</v>
      </c>
      <c r="H2102" s="465" t="e">
        <v>#N/A</v>
      </c>
      <c r="I2102" s="465" t="e">
        <v>#N/A</v>
      </c>
      <c r="J2102" s="465" t="e">
        <v>#N/A</v>
      </c>
      <c r="K2102" s="465" t="e">
        <v>#N/A</v>
      </c>
      <c r="L2102" s="464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str">
        <f t="shared" si="64"/>
        <v>SEVROLL Simple horné vedenie 3m oliva new</v>
      </c>
      <c r="C2103" s="185" t="e">
        <f t="shared" si="65"/>
        <v>#N/A</v>
      </c>
      <c r="D2103" s="409" t="s">
        <v>1658</v>
      </c>
      <c r="E2103" s="409" t="s">
        <v>2085</v>
      </c>
      <c r="F2103" s="409" t="s">
        <v>2274</v>
      </c>
      <c r="G2103" s="409" t="s">
        <v>2568</v>
      </c>
      <c r="H2103" s="465" t="e">
        <v>#N/A</v>
      </c>
      <c r="I2103" s="465" t="e">
        <v>#N/A</v>
      </c>
      <c r="J2103" s="465" t="e">
        <v>#N/A</v>
      </c>
      <c r="K2103" s="465" t="e">
        <v>#N/A</v>
      </c>
      <c r="L2103" s="464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str">
        <f t="shared" si="64"/>
        <v>SEVROLL Simple horné vedenie 4m oliva new</v>
      </c>
      <c r="C2104" s="185" t="e">
        <f t="shared" si="65"/>
        <v>#N/A</v>
      </c>
      <c r="D2104" s="409" t="s">
        <v>1659</v>
      </c>
      <c r="E2104" s="409" t="s">
        <v>2086</v>
      </c>
      <c r="F2104" s="409" t="s">
        <v>2275</v>
      </c>
      <c r="G2104" s="409" t="s">
        <v>2569</v>
      </c>
      <c r="H2104" s="465" t="e">
        <v>#N/A</v>
      </c>
      <c r="I2104" s="465" t="e">
        <v>#N/A</v>
      </c>
      <c r="J2104" s="465" t="e">
        <v>#N/A</v>
      </c>
      <c r="K2104" s="465" t="e">
        <v>#N/A</v>
      </c>
      <c r="L2104" s="464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str">
        <f t="shared" si="64"/>
        <v>SEVROLL Simple spodné vedenie 1,5m oliva new</v>
      </c>
      <c r="C2105" s="185" t="e">
        <f t="shared" si="65"/>
        <v>#N/A</v>
      </c>
      <c r="D2105" s="409" t="s">
        <v>1660</v>
      </c>
      <c r="E2105" s="409" t="s">
        <v>2087</v>
      </c>
      <c r="F2105" s="409" t="s">
        <v>2276</v>
      </c>
      <c r="G2105" s="409" t="s">
        <v>2570</v>
      </c>
      <c r="H2105" s="465" t="e">
        <v>#N/A</v>
      </c>
      <c r="I2105" s="465" t="e">
        <v>#N/A</v>
      </c>
      <c r="J2105" s="465" t="e">
        <v>#N/A</v>
      </c>
      <c r="K2105" s="465" t="e">
        <v>#N/A</v>
      </c>
      <c r="L2105" s="464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str">
        <f t="shared" si="64"/>
        <v>SEVROLL Simple spodné vedenie 2m oliva new</v>
      </c>
      <c r="C2106" s="185" t="e">
        <f t="shared" si="65"/>
        <v>#N/A</v>
      </c>
      <c r="D2106" s="409" t="s">
        <v>1661</v>
      </c>
      <c r="E2106" s="409" t="s">
        <v>2088</v>
      </c>
      <c r="F2106" s="409" t="s">
        <v>2277</v>
      </c>
      <c r="G2106" s="409" t="s">
        <v>2571</v>
      </c>
      <c r="H2106" s="465" t="e">
        <v>#N/A</v>
      </c>
      <c r="I2106" s="465" t="e">
        <v>#N/A</v>
      </c>
      <c r="J2106" s="465" t="e">
        <v>#N/A</v>
      </c>
      <c r="K2106" s="465" t="e">
        <v>#N/A</v>
      </c>
      <c r="L2106" s="464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str">
        <f t="shared" si="64"/>
        <v>SEVROLL Simple spodné vedenie 2,5m oliva new</v>
      </c>
      <c r="C2107" s="185" t="e">
        <f t="shared" si="65"/>
        <v>#N/A</v>
      </c>
      <c r="D2107" s="409" t="s">
        <v>1662</v>
      </c>
      <c r="E2107" s="409" t="s">
        <v>2089</v>
      </c>
      <c r="F2107" s="409" t="s">
        <v>2278</v>
      </c>
      <c r="G2107" s="409" t="s">
        <v>2572</v>
      </c>
      <c r="H2107" s="465" t="e">
        <v>#N/A</v>
      </c>
      <c r="I2107" s="465" t="e">
        <v>#N/A</v>
      </c>
      <c r="J2107" s="465" t="e">
        <v>#N/A</v>
      </c>
      <c r="K2107" s="465" t="e">
        <v>#N/A</v>
      </c>
      <c r="L2107" s="464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str">
        <f t="shared" si="64"/>
        <v>SEVROLL Simple spodné vedenie 3m oliva new</v>
      </c>
      <c r="C2108" s="185" t="e">
        <f t="shared" si="65"/>
        <v>#N/A</v>
      </c>
      <c r="D2108" s="409" t="s">
        <v>1663</v>
      </c>
      <c r="E2108" s="409" t="s">
        <v>2090</v>
      </c>
      <c r="F2108" s="409" t="s">
        <v>2279</v>
      </c>
      <c r="G2108" s="409" t="s">
        <v>2573</v>
      </c>
      <c r="H2108" s="465" t="e">
        <v>#N/A</v>
      </c>
      <c r="I2108" s="465" t="e">
        <v>#N/A</v>
      </c>
      <c r="J2108" s="465" t="e">
        <v>#N/A</v>
      </c>
      <c r="K2108" s="465" t="e">
        <v>#N/A</v>
      </c>
      <c r="L2108" s="464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str">
        <f t="shared" si="64"/>
        <v>SEVROLL Simple spodné vedenie 4m oliva new</v>
      </c>
      <c r="C2109" s="185" t="e">
        <f t="shared" si="65"/>
        <v>#N/A</v>
      </c>
      <c r="D2109" s="409" t="s">
        <v>1664</v>
      </c>
      <c r="E2109" s="409" t="s">
        <v>2091</v>
      </c>
      <c r="F2109" s="409" t="s">
        <v>2280</v>
      </c>
      <c r="G2109" s="409" t="s">
        <v>2574</v>
      </c>
      <c r="H2109" s="465" t="e">
        <v>#N/A</v>
      </c>
      <c r="I2109" s="465" t="e">
        <v>#N/A</v>
      </c>
      <c r="J2109" s="465" t="e">
        <v>#N/A</v>
      </c>
      <c r="K2109" s="465" t="e">
        <v>#N/A</v>
      </c>
      <c r="L2109" s="464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str">
        <f t="shared" si="64"/>
        <v>SEVROLL 04456-M horná vodiaca lišta Simple/Blue 1,5m (pre lamino 18mm) oliva new</v>
      </c>
      <c r="C2110" s="185" t="e">
        <f t="shared" si="65"/>
        <v>#N/A</v>
      </c>
      <c r="D2110" s="409" t="s">
        <v>1665</v>
      </c>
      <c r="E2110" s="409" t="s">
        <v>2092</v>
      </c>
      <c r="F2110" s="409" t="s">
        <v>6106</v>
      </c>
      <c r="G2110" s="409" t="s">
        <v>6107</v>
      </c>
      <c r="H2110" s="465" t="e">
        <v>#N/A</v>
      </c>
      <c r="I2110" s="465" t="e">
        <v>#N/A</v>
      </c>
      <c r="J2110" s="465" t="e">
        <v>#N/A</v>
      </c>
      <c r="K2110" s="465" t="e">
        <v>#N/A</v>
      </c>
      <c r="L2110" s="464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str">
        <f t="shared" si="64"/>
        <v>SEVROLL 04457-M horná vodiaca lišta Simple/Blue 2m (pre lamino 18mm) oliva new</v>
      </c>
      <c r="C2111" s="185" t="e">
        <f t="shared" si="65"/>
        <v>#N/A</v>
      </c>
      <c r="D2111" s="409" t="s">
        <v>1666</v>
      </c>
      <c r="E2111" s="409" t="s">
        <v>2093</v>
      </c>
      <c r="F2111" s="409" t="s">
        <v>6108</v>
      </c>
      <c r="G2111" s="409" t="s">
        <v>6109</v>
      </c>
      <c r="H2111" s="465" t="e">
        <v>#N/A</v>
      </c>
      <c r="I2111" s="465" t="e">
        <v>#N/A</v>
      </c>
      <c r="J2111" s="465" t="e">
        <v>#N/A</v>
      </c>
      <c r="K2111" s="465" t="e">
        <v>#N/A</v>
      </c>
      <c r="L2111" s="464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str">
        <f t="shared" si="64"/>
        <v>SEVROLL horná vodiaca lišta Simple/Blue 2,5m (pre lamino 18mm) oliva new</v>
      </c>
      <c r="C2112" s="185" t="e">
        <f t="shared" si="65"/>
        <v>#N/A</v>
      </c>
      <c r="D2112" s="409" t="s">
        <v>1667</v>
      </c>
      <c r="E2112" s="409" t="s">
        <v>2094</v>
      </c>
      <c r="F2112" s="409" t="s">
        <v>2281</v>
      </c>
      <c r="G2112" s="409" t="s">
        <v>2575</v>
      </c>
      <c r="H2112" s="465" t="e">
        <v>#N/A</v>
      </c>
      <c r="I2112" s="465" t="e">
        <v>#N/A</v>
      </c>
      <c r="J2112" s="465" t="e">
        <v>#N/A</v>
      </c>
      <c r="K2112" s="465" t="e">
        <v>#N/A</v>
      </c>
      <c r="L2112" s="464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str">
        <f t="shared" si="64"/>
        <v>SEVROLL 04448-M spodná krycia lišta Simple/Blue 1,5m (pre lamino 18mm) oliva new</v>
      </c>
      <c r="C2113" s="185" t="e">
        <f t="shared" si="65"/>
        <v>#N/A</v>
      </c>
      <c r="D2113" s="409" t="s">
        <v>1668</v>
      </c>
      <c r="E2113" s="409" t="s">
        <v>2095</v>
      </c>
      <c r="F2113" s="409" t="s">
        <v>6110</v>
      </c>
      <c r="G2113" s="409" t="s">
        <v>2576</v>
      </c>
      <c r="H2113" s="465" t="e">
        <v>#N/A</v>
      </c>
      <c r="I2113" s="465" t="e">
        <v>#N/A</v>
      </c>
      <c r="J2113" s="465" t="e">
        <v>#N/A</v>
      </c>
      <c r="K2113" s="465" t="e">
        <v>#N/A</v>
      </c>
      <c r="L2113" s="464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str">
        <f t="shared" si="64"/>
        <v>SEVROLL horná vodiaca lišta Simple/Blue 1,5m (pre lamino 10mm) oliva new</v>
      </c>
      <c r="C2114" s="185" t="e">
        <f t="shared" si="65"/>
        <v>#N/A</v>
      </c>
      <c r="D2114" s="409" t="s">
        <v>1669</v>
      </c>
      <c r="E2114" s="409" t="s">
        <v>2096</v>
      </c>
      <c r="F2114" s="409" t="s">
        <v>2282</v>
      </c>
      <c r="G2114" s="409" t="s">
        <v>2577</v>
      </c>
      <c r="H2114" s="465" t="e">
        <v>#N/A</v>
      </c>
      <c r="I2114" s="465" t="e">
        <v>#N/A</v>
      </c>
      <c r="J2114" s="465" t="e">
        <v>#N/A</v>
      </c>
      <c r="K2114" s="465" t="e">
        <v>#N/A</v>
      </c>
      <c r="L2114" s="464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str">
        <f t="shared" si="64"/>
        <v>SEVROLL horná vodiaca lišta Simple/Blue 2m (pre lamino 10mm) oliva new</v>
      </c>
      <c r="C2115" s="185" t="e">
        <f t="shared" si="65"/>
        <v>#N/A</v>
      </c>
      <c r="D2115" s="409" t="s">
        <v>1670</v>
      </c>
      <c r="E2115" s="409" t="s">
        <v>2097</v>
      </c>
      <c r="F2115" s="409" t="s">
        <v>2283</v>
      </c>
      <c r="G2115" s="409" t="s">
        <v>2578</v>
      </c>
      <c r="H2115" s="465" t="e">
        <v>#N/A</v>
      </c>
      <c r="I2115" s="465" t="e">
        <v>#N/A</v>
      </c>
      <c r="J2115" s="465" t="e">
        <v>#N/A</v>
      </c>
      <c r="K2115" s="465" t="e">
        <v>#N/A</v>
      </c>
      <c r="L2115" s="464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str">
        <f t="shared" ref="B2116:B2179" si="66">IF($A$2=1,D2116,IF($A$2=2,F2116,IF($A$2=3,G2116,IF($A$2=4,E2116,IF($A$2&gt;4,P2116,"zadat jazyk")))))</f>
        <v>SEVROLL horná vodiaca lišta Simple/Blue 2,5m (pre lamino 10mm) oliva new</v>
      </c>
      <c r="C2116" s="185" t="e">
        <f t="shared" ref="C2116:C2179" si="67">IF($A$2=1,H2116,IF($A$2=2,I2116,IF($A$2=3,J2116,IF($A$2=4,K2116,IF($A$2&gt;4,O2116,"zadat jazyk")))))</f>
        <v>#N/A</v>
      </c>
      <c r="D2116" s="409" t="s">
        <v>1671</v>
      </c>
      <c r="E2116" s="409" t="s">
        <v>2098</v>
      </c>
      <c r="F2116" s="409" t="s">
        <v>2284</v>
      </c>
      <c r="G2116" s="409" t="s">
        <v>2579</v>
      </c>
      <c r="H2116" s="465" t="e">
        <v>#N/A</v>
      </c>
      <c r="I2116" s="465" t="e">
        <v>#N/A</v>
      </c>
      <c r="J2116" s="465" t="e">
        <v>#N/A</v>
      </c>
      <c r="K2116" s="465" t="e">
        <v>#N/A</v>
      </c>
      <c r="L2116" s="464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str">
        <f t="shared" si="66"/>
        <v>SEVROLL spodná krycia lišta Simple/Blue 1,5m (pre lamino 10mm) oliva new</v>
      </c>
      <c r="C2117" s="185" t="e">
        <f t="shared" si="67"/>
        <v>#N/A</v>
      </c>
      <c r="D2117" s="409" t="s">
        <v>1672</v>
      </c>
      <c r="E2117" s="409" t="s">
        <v>2099</v>
      </c>
      <c r="F2117" s="409" t="s">
        <v>2285</v>
      </c>
      <c r="G2117" s="409" t="s">
        <v>2580</v>
      </c>
      <c r="H2117" s="465" t="e">
        <v>#N/A</v>
      </c>
      <c r="I2117" s="465" t="e">
        <v>#N/A</v>
      </c>
      <c r="J2117" s="465" t="e">
        <v>#N/A</v>
      </c>
      <c r="K2117" s="465" t="e">
        <v>#N/A</v>
      </c>
      <c r="L2117" s="464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str">
        <f t="shared" si="66"/>
        <v>SEVROLL spodná vodiaca lišta Simple/Blue 2m (pre lamino 10mm) oliva new</v>
      </c>
      <c r="C2118" s="185" t="e">
        <f t="shared" si="67"/>
        <v>#N/A</v>
      </c>
      <c r="D2118" s="409" t="s">
        <v>1673</v>
      </c>
      <c r="E2118" s="409" t="s">
        <v>2100</v>
      </c>
      <c r="F2118" s="409" t="s">
        <v>2286</v>
      </c>
      <c r="G2118" s="409" t="s">
        <v>2581</v>
      </c>
      <c r="H2118" s="465" t="e">
        <v>#N/A</v>
      </c>
      <c r="I2118" s="465" t="e">
        <v>#N/A</v>
      </c>
      <c r="J2118" s="465" t="e">
        <v>#N/A</v>
      </c>
      <c r="K2118" s="465" t="e">
        <v>#N/A</v>
      </c>
      <c r="L2118" s="464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str">
        <f t="shared" si="66"/>
        <v>SEVROLL spodná vodiaca lišta Simple/Blue 2,5 (pre lamino 10mm) oliva new</v>
      </c>
      <c r="C2119" s="185" t="e">
        <f t="shared" si="67"/>
        <v>#N/A</v>
      </c>
      <c r="D2119" s="409" t="s">
        <v>1674</v>
      </c>
      <c r="E2119" s="409" t="s">
        <v>2101</v>
      </c>
      <c r="F2119" s="409" t="s">
        <v>2287</v>
      </c>
      <c r="G2119" s="409" t="s">
        <v>2582</v>
      </c>
      <c r="H2119" s="465" t="e">
        <v>#N/A</v>
      </c>
      <c r="I2119" s="465" t="e">
        <v>#N/A</v>
      </c>
      <c r="J2119" s="465" t="e">
        <v>#N/A</v>
      </c>
      <c r="K2119" s="465" t="e">
        <v>#N/A</v>
      </c>
      <c r="L2119" s="464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str">
        <f t="shared" si="66"/>
        <v>SEVROLL 04446-M spojovacia lišta Simple/Blue H21 3m (pre lamino 18mm) oliva new</v>
      </c>
      <c r="C2120" s="185" t="e">
        <f t="shared" si="67"/>
        <v>#N/A</v>
      </c>
      <c r="D2120" s="409" t="s">
        <v>1675</v>
      </c>
      <c r="E2120" s="409" t="s">
        <v>2102</v>
      </c>
      <c r="F2120" s="409" t="s">
        <v>6111</v>
      </c>
      <c r="G2120" s="409" t="s">
        <v>2583</v>
      </c>
      <c r="H2120" s="465" t="e">
        <v>#N/A</v>
      </c>
      <c r="I2120" s="465" t="e">
        <v>#N/A</v>
      </c>
      <c r="J2120" s="465" t="e">
        <v>#N/A</v>
      </c>
      <c r="K2120" s="465" t="e">
        <v>#N/A</v>
      </c>
      <c r="L2120" s="464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str">
        <f t="shared" si="66"/>
        <v>SEVROLL spojovacia lišta Simple/Blue H25 3m oliva new</v>
      </c>
      <c r="C2121" s="185" t="e">
        <f t="shared" si="67"/>
        <v>#N/A</v>
      </c>
      <c r="D2121" s="409" t="s">
        <v>1676</v>
      </c>
      <c r="E2121" s="409" t="s">
        <v>2103</v>
      </c>
      <c r="F2121" s="409" t="s">
        <v>2288</v>
      </c>
      <c r="G2121" s="409" t="s">
        <v>2584</v>
      </c>
      <c r="H2121" s="465" t="e">
        <v>#N/A</v>
      </c>
      <c r="I2121" s="465" t="e">
        <v>#N/A</v>
      </c>
      <c r="J2121" s="465" t="e">
        <v>#N/A</v>
      </c>
      <c r="K2121" s="465" t="e">
        <v>#N/A</v>
      </c>
      <c r="L2121" s="464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str">
        <f t="shared" si="66"/>
        <v>SEVROLL Uno úchytová lišta 18mm 2,70m oliva new</v>
      </c>
      <c r="C2122" s="185" t="e">
        <f t="shared" si="67"/>
        <v>#N/A</v>
      </c>
      <c r="D2122" s="409" t="s">
        <v>1677</v>
      </c>
      <c r="E2122" s="409" t="s">
        <v>2104</v>
      </c>
      <c r="F2122" s="409" t="s">
        <v>2289</v>
      </c>
      <c r="G2122" s="409" t="s">
        <v>2585</v>
      </c>
      <c r="H2122" s="465" t="e">
        <v>#N/A</v>
      </c>
      <c r="I2122" s="465" t="e">
        <v>#N/A</v>
      </c>
      <c r="J2122" s="465" t="e">
        <v>#N/A</v>
      </c>
      <c r="K2122" s="465" t="e">
        <v>#N/A</v>
      </c>
      <c r="L2122" s="464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str">
        <f t="shared" si="66"/>
        <v>SEVROLL Maxim II maska 2,5m oliva new</v>
      </c>
      <c r="C2123" s="185" t="e">
        <f t="shared" si="67"/>
        <v>#N/A</v>
      </c>
      <c r="D2123" s="409" t="s">
        <v>1678</v>
      </c>
      <c r="E2123" s="409" t="s">
        <v>2105</v>
      </c>
      <c r="F2123" s="409" t="s">
        <v>2290</v>
      </c>
      <c r="G2123" s="409" t="s">
        <v>2586</v>
      </c>
      <c r="H2123" s="465" t="e">
        <v>#N/A</v>
      </c>
      <c r="I2123" s="465" t="e">
        <v>#N/A</v>
      </c>
      <c r="J2123" s="465" t="e">
        <v>#N/A</v>
      </c>
      <c r="K2123" s="465" t="e">
        <v>#N/A</v>
      </c>
      <c r="L2123" s="464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str">
        <f t="shared" si="66"/>
        <v>SEVROLL profil "U" na DTD 36mm oliva new 3m</v>
      </c>
      <c r="C2124" s="185" t="e">
        <f t="shared" si="67"/>
        <v>#N/A</v>
      </c>
      <c r="D2124" s="409" t="s">
        <v>1679</v>
      </c>
      <c r="E2124" s="409" t="s">
        <v>2106</v>
      </c>
      <c r="F2124" s="409" t="s">
        <v>2291</v>
      </c>
      <c r="G2124" s="409" t="s">
        <v>2587</v>
      </c>
      <c r="H2124" s="465" t="e">
        <v>#N/A</v>
      </c>
      <c r="I2124" s="465" t="e">
        <v>#N/A</v>
      </c>
      <c r="J2124" s="465" t="e">
        <v>#N/A</v>
      </c>
      <c r="K2124" s="465" t="e">
        <v>#N/A</v>
      </c>
      <c r="L2124" s="464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str">
        <f t="shared" si="66"/>
        <v>SEVROLL profil "U" Mini na DTD 18mm oliva new 3m</v>
      </c>
      <c r="C2125" s="185" t="e">
        <f t="shared" si="67"/>
        <v>#N/A</v>
      </c>
      <c r="D2125" s="409" t="s">
        <v>1680</v>
      </c>
      <c r="E2125" s="409" t="s">
        <v>2107</v>
      </c>
      <c r="F2125" s="409" t="s">
        <v>2292</v>
      </c>
      <c r="G2125" s="409" t="s">
        <v>2588</v>
      </c>
      <c r="H2125" s="465" t="e">
        <v>#N/A</v>
      </c>
      <c r="I2125" s="465" t="e">
        <v>#N/A</v>
      </c>
      <c r="J2125" s="465" t="e">
        <v>#N/A</v>
      </c>
      <c r="K2125" s="465" t="e">
        <v>#N/A</v>
      </c>
      <c r="L2125" s="464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str">
        <f t="shared" si="66"/>
        <v>SEVROLL uholník 18x36mm 3m oliva new</v>
      </c>
      <c r="C2126" s="185" t="e">
        <f t="shared" si="67"/>
        <v>#N/A</v>
      </c>
      <c r="D2126" s="409" t="s">
        <v>1681</v>
      </c>
      <c r="E2126" s="409" t="s">
        <v>2108</v>
      </c>
      <c r="F2126" s="409" t="s">
        <v>2293</v>
      </c>
      <c r="G2126" s="409" t="s">
        <v>2589</v>
      </c>
      <c r="H2126" s="465" t="e">
        <v>#N/A</v>
      </c>
      <c r="I2126" s="465" t="e">
        <v>#N/A</v>
      </c>
      <c r="J2126" s="465" t="e">
        <v>#N/A</v>
      </c>
      <c r="K2126" s="465" t="e">
        <v>#N/A</v>
      </c>
      <c r="L2126" s="464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str">
        <f t="shared" si="66"/>
        <v>SEVROLL uholník 36x36mm 3m oliva new</v>
      </c>
      <c r="C2127" s="185" t="e">
        <f t="shared" si="67"/>
        <v>#N/A</v>
      </c>
      <c r="D2127" s="409" t="s">
        <v>1682</v>
      </c>
      <c r="E2127" s="409" t="s">
        <v>2109</v>
      </c>
      <c r="F2127" s="409" t="s">
        <v>2294</v>
      </c>
      <c r="G2127" s="409" t="s">
        <v>2590</v>
      </c>
      <c r="H2127" s="465" t="e">
        <v>#N/A</v>
      </c>
      <c r="I2127" s="465" t="e">
        <v>#N/A</v>
      </c>
      <c r="J2127" s="465" t="e">
        <v>#N/A</v>
      </c>
      <c r="K2127" s="465" t="e">
        <v>#N/A</v>
      </c>
      <c r="L2127" s="464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str">
        <f t="shared" si="66"/>
        <v>SEVROLL Porto úchytová lišta 2,7m oliva new</v>
      </c>
      <c r="C2128" s="185" t="e">
        <f t="shared" si="67"/>
        <v>#N/A</v>
      </c>
      <c r="D2128" s="409" t="s">
        <v>1683</v>
      </c>
      <c r="E2128" s="409" t="s">
        <v>2110</v>
      </c>
      <c r="F2128" s="409" t="s">
        <v>2295</v>
      </c>
      <c r="G2128" s="409" t="s">
        <v>2591</v>
      </c>
      <c r="H2128" s="465" t="e">
        <v>#N/A</v>
      </c>
      <c r="I2128" s="465" t="e">
        <v>#N/A</v>
      </c>
      <c r="J2128" s="465" t="e">
        <v>#N/A</v>
      </c>
      <c r="K2128" s="465" t="e">
        <v>#N/A</v>
      </c>
      <c r="L2128" s="464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str">
        <f t="shared" si="66"/>
        <v>SEVROLL okrasná lišta S18 s lepidlom 3m oliva new</v>
      </c>
      <c r="C2129" s="185" t="e">
        <f t="shared" si="67"/>
        <v>#N/A</v>
      </c>
      <c r="D2129" s="409" t="s">
        <v>1684</v>
      </c>
      <c r="E2129" s="409" t="s">
        <v>2111</v>
      </c>
      <c r="F2129" s="409" t="s">
        <v>2296</v>
      </c>
      <c r="G2129" s="409" t="s">
        <v>2592</v>
      </c>
      <c r="H2129" s="465" t="e">
        <v>#N/A</v>
      </c>
      <c r="I2129" s="465" t="e">
        <v>#N/A</v>
      </c>
      <c r="J2129" s="465" t="e">
        <v>#N/A</v>
      </c>
      <c r="K2129" s="465" t="e">
        <v>#N/A</v>
      </c>
      <c r="L2129" s="464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str">
        <f t="shared" si="66"/>
        <v>SEVROLL 04586-A Gemini II spodné vedenie  1,7m oliva new</v>
      </c>
      <c r="C2130" s="185" t="e">
        <f t="shared" si="67"/>
        <v>#N/A</v>
      </c>
      <c r="D2130" s="409" t="s">
        <v>1685</v>
      </c>
      <c r="E2130" s="409" t="s">
        <v>2112</v>
      </c>
      <c r="F2130" s="409" t="s">
        <v>6112</v>
      </c>
      <c r="G2130" s="409" t="s">
        <v>2593</v>
      </c>
      <c r="H2130" s="465" t="e">
        <v>#N/A</v>
      </c>
      <c r="I2130" s="465" t="e">
        <v>#N/A</v>
      </c>
      <c r="J2130" s="465" t="e">
        <v>#N/A</v>
      </c>
      <c r="K2130" s="465" t="e">
        <v>#N/A</v>
      </c>
      <c r="L2130" s="464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str">
        <f t="shared" si="66"/>
        <v>SEVROLL 04587-A Gemini II spodné vedenie  2,35m oliva new</v>
      </c>
      <c r="C2131" s="185" t="e">
        <f t="shared" si="67"/>
        <v>#N/A</v>
      </c>
      <c r="D2131" s="409" t="s">
        <v>1686</v>
      </c>
      <c r="E2131" s="409" t="s">
        <v>2113</v>
      </c>
      <c r="F2131" s="409" t="s">
        <v>6113</v>
      </c>
      <c r="G2131" s="409" t="s">
        <v>2594</v>
      </c>
      <c r="H2131" s="465" t="e">
        <v>#N/A</v>
      </c>
      <c r="I2131" s="465" t="e">
        <v>#N/A</v>
      </c>
      <c r="J2131" s="465" t="e">
        <v>#N/A</v>
      </c>
      <c r="K2131" s="465" t="e">
        <v>#N/A</v>
      </c>
      <c r="L2131" s="464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str">
        <f t="shared" si="66"/>
        <v>SEVROLL 04588-A Gemini II spodné vedenie  3m oliva new</v>
      </c>
      <c r="C2132" s="185" t="e">
        <f t="shared" si="67"/>
        <v>#N/A</v>
      </c>
      <c r="D2132" s="409" t="s">
        <v>1687</v>
      </c>
      <c r="E2132" s="409" t="s">
        <v>2114</v>
      </c>
      <c r="F2132" s="409" t="s">
        <v>6114</v>
      </c>
      <c r="G2132" s="409" t="s">
        <v>2595</v>
      </c>
      <c r="H2132" s="465" t="e">
        <v>#N/A</v>
      </c>
      <c r="I2132" s="465" t="e">
        <v>#N/A</v>
      </c>
      <c r="J2132" s="465" t="e">
        <v>#N/A</v>
      </c>
      <c r="K2132" s="465" t="e">
        <v>#N/A</v>
      </c>
      <c r="L2132" s="464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str">
        <f t="shared" si="66"/>
        <v>SEVROLL 04589-A Gemini II spodné vedenie  4,05m oliva new</v>
      </c>
      <c r="C2133" s="185" t="e">
        <f t="shared" si="67"/>
        <v>#N/A</v>
      </c>
      <c r="D2133" s="409" t="s">
        <v>1688</v>
      </c>
      <c r="E2133" s="409" t="s">
        <v>2115</v>
      </c>
      <c r="F2133" s="409" t="s">
        <v>6115</v>
      </c>
      <c r="G2133" s="409" t="s">
        <v>2596</v>
      </c>
      <c r="H2133" s="465" t="e">
        <v>#N/A</v>
      </c>
      <c r="I2133" s="465" t="e">
        <v>#N/A</v>
      </c>
      <c r="J2133" s="465" t="e">
        <v>#N/A</v>
      </c>
      <c r="K2133" s="465" t="e">
        <v>#N/A</v>
      </c>
      <c r="L2133" s="464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str">
        <f t="shared" si="66"/>
        <v>SEVROLL 04590-A Gemini II spodné vedenie  6m oliva new</v>
      </c>
      <c r="C2134" s="185" t="e">
        <f t="shared" si="67"/>
        <v>#N/A</v>
      </c>
      <c r="D2134" s="409" t="s">
        <v>1689</v>
      </c>
      <c r="E2134" s="409" t="s">
        <v>2116</v>
      </c>
      <c r="F2134" s="409" t="s">
        <v>6116</v>
      </c>
      <c r="G2134" s="409" t="s">
        <v>2597</v>
      </c>
      <c r="H2134" s="465" t="e">
        <v>#N/A</v>
      </c>
      <c r="I2134" s="465" t="e">
        <v>#N/A</v>
      </c>
      <c r="J2134" s="465" t="e">
        <v>#N/A</v>
      </c>
      <c r="K2134" s="465" t="e">
        <v>#N/A</v>
      </c>
      <c r="L2134" s="464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str">
        <f t="shared" si="66"/>
        <v>SEVROLL 04297-A maska Elegant II 2,35m oliva new</v>
      </c>
      <c r="C2135" s="185" t="e">
        <f t="shared" si="67"/>
        <v>#N/A</v>
      </c>
      <c r="D2135" s="409" t="s">
        <v>1690</v>
      </c>
      <c r="E2135" s="409" t="s">
        <v>2117</v>
      </c>
      <c r="F2135" s="409" t="s">
        <v>1690</v>
      </c>
      <c r="G2135" s="409" t="s">
        <v>6117</v>
      </c>
      <c r="H2135" s="465" t="e">
        <v>#N/A</v>
      </c>
      <c r="I2135" s="465" t="e">
        <v>#N/A</v>
      </c>
      <c r="J2135" s="465" t="e">
        <v>#N/A</v>
      </c>
      <c r="K2135" s="465" t="e">
        <v>#N/A</v>
      </c>
      <c r="L2135" s="464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str">
        <f t="shared" si="66"/>
        <v>SEVROLL 04273-A Elegant II spodné vedenie  1,7m oliva new</v>
      </c>
      <c r="C2136" s="185" t="e">
        <f t="shared" si="67"/>
        <v>#N/A</v>
      </c>
      <c r="D2136" s="409" t="s">
        <v>1691</v>
      </c>
      <c r="E2136" s="409" t="s">
        <v>2118</v>
      </c>
      <c r="F2136" s="409" t="s">
        <v>6118</v>
      </c>
      <c r="G2136" s="409" t="s">
        <v>6119</v>
      </c>
      <c r="H2136" s="465" t="e">
        <v>#N/A</v>
      </c>
      <c r="I2136" s="465" t="e">
        <v>#N/A</v>
      </c>
      <c r="J2136" s="465" t="e">
        <v>#N/A</v>
      </c>
      <c r="K2136" s="465" t="e">
        <v>#N/A</v>
      </c>
      <c r="L2136" s="464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str">
        <f t="shared" si="66"/>
        <v>SEVROLL 04747-A Rekord úchytová lišta 18mm 2,70m oliva new</v>
      </c>
      <c r="C2137" s="185" t="e">
        <f t="shared" si="67"/>
        <v>#N/A</v>
      </c>
      <c r="D2137" s="409" t="s">
        <v>1692</v>
      </c>
      <c r="E2137" s="409" t="s">
        <v>2119</v>
      </c>
      <c r="F2137" s="409" t="s">
        <v>1692</v>
      </c>
      <c r="G2137" s="409" t="s">
        <v>6120</v>
      </c>
      <c r="H2137" s="465" t="e">
        <v>#N/A</v>
      </c>
      <c r="I2137" s="465" t="e">
        <v>#N/A</v>
      </c>
      <c r="J2137" s="465" t="e">
        <v>#N/A</v>
      </c>
      <c r="K2137" s="465" t="e">
        <v>#N/A</v>
      </c>
      <c r="L2137" s="464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str">
        <f t="shared" si="66"/>
        <v>SEVROLL 04298-A maska Elegant II 3m oliva new</v>
      </c>
      <c r="C2138" s="185" t="e">
        <f t="shared" si="67"/>
        <v>#N/A</v>
      </c>
      <c r="D2138" s="409" t="s">
        <v>1693</v>
      </c>
      <c r="E2138" s="409" t="s">
        <v>2120</v>
      </c>
      <c r="F2138" s="409" t="s">
        <v>1693</v>
      </c>
      <c r="G2138" s="409" t="s">
        <v>6121</v>
      </c>
      <c r="H2138" s="465" t="e">
        <v>#N/A</v>
      </c>
      <c r="I2138" s="465" t="e">
        <v>#N/A</v>
      </c>
      <c r="J2138" s="465" t="e">
        <v>#N/A</v>
      </c>
      <c r="K2138" s="465" t="e">
        <v>#N/A</v>
      </c>
      <c r="L2138" s="464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spodný profil 2,5m elox strieborný</v>
      </c>
      <c r="C2139" s="185">
        <f t="shared" si="67"/>
        <v>0</v>
      </c>
      <c r="D2139" s="409" t="s">
        <v>8341</v>
      </c>
      <c r="E2139" s="409" t="s">
        <v>8342</v>
      </c>
      <c r="F2139" s="409" t="s">
        <v>8343</v>
      </c>
      <c r="G2139" s="409" t="s">
        <v>8344</v>
      </c>
      <c r="H2139" s="465">
        <v>0</v>
      </c>
      <c r="I2139" s="465">
        <v>0</v>
      </c>
      <c r="J2139" s="465">
        <v>0</v>
      </c>
      <c r="K2139" s="465">
        <v>0</v>
      </c>
      <c r="L2139" s="464" t="s">
        <v>540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9" t="e">
        <v>#N/A</v>
      </c>
      <c r="E2140" s="409" t="e">
        <v>#N/A</v>
      </c>
      <c r="F2140" s="409" t="e">
        <v>#N/A</v>
      </c>
      <c r="G2140" s="409" t="e">
        <v>#N/A</v>
      </c>
      <c r="H2140" s="465" t="e">
        <v>#N/A</v>
      </c>
      <c r="I2140" s="465" t="e">
        <v>#N/A</v>
      </c>
      <c r="J2140" s="465" t="e">
        <v>#N/A</v>
      </c>
      <c r="K2140" s="465" t="e">
        <v>#N/A</v>
      </c>
      <c r="L2140" s="464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9" t="e">
        <v>#N/A</v>
      </c>
      <c r="E2141" s="409" t="e">
        <v>#N/A</v>
      </c>
      <c r="F2141" s="409" t="e">
        <v>#N/A</v>
      </c>
      <c r="G2141" s="409" t="e">
        <v>#N/A</v>
      </c>
      <c r="H2141" s="465" t="e">
        <v>#N/A</v>
      </c>
      <c r="I2141" s="465" t="e">
        <v>#N/A</v>
      </c>
      <c r="J2141" s="465" t="e">
        <v>#N/A</v>
      </c>
      <c r="K2141" s="465" t="e">
        <v>#N/A</v>
      </c>
      <c r="L2141" s="464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9" t="e">
        <v>#N/A</v>
      </c>
      <c r="E2142" s="409" t="e">
        <v>#N/A</v>
      </c>
      <c r="F2142" s="409" t="e">
        <v>#N/A</v>
      </c>
      <c r="G2142" s="409" t="e">
        <v>#N/A</v>
      </c>
      <c r="H2142" s="465" t="e">
        <v>#N/A</v>
      </c>
      <c r="I2142" s="465" t="e">
        <v>#N/A</v>
      </c>
      <c r="J2142" s="465" t="e">
        <v>#N/A</v>
      </c>
      <c r="K2142" s="465" t="e">
        <v>#N/A</v>
      </c>
      <c r="L2142" s="464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9" t="e">
        <v>#N/A</v>
      </c>
      <c r="E2143" s="409" t="e">
        <v>#N/A</v>
      </c>
      <c r="F2143" s="409" t="e">
        <v>#N/A</v>
      </c>
      <c r="G2143" s="409" t="e">
        <v>#N/A</v>
      </c>
      <c r="H2143" s="465" t="e">
        <v>#N/A</v>
      </c>
      <c r="I2143" s="465" t="e">
        <v>#N/A</v>
      </c>
      <c r="J2143" s="465" t="e">
        <v>#N/A</v>
      </c>
      <c r="K2143" s="465" t="e">
        <v>#N/A</v>
      </c>
      <c r="L2143" s="464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9" t="e">
        <v>#N/A</v>
      </c>
      <c r="E2144" s="409" t="e">
        <v>#N/A</v>
      </c>
      <c r="F2144" s="409" t="e">
        <v>#N/A</v>
      </c>
      <c r="G2144" s="409" t="e">
        <v>#N/A</v>
      </c>
      <c r="H2144" s="465" t="e">
        <v>#N/A</v>
      </c>
      <c r="I2144" s="465" t="e">
        <v>#N/A</v>
      </c>
      <c r="J2144" s="465" t="e">
        <v>#N/A</v>
      </c>
      <c r="K2144" s="465" t="e">
        <v>#N/A</v>
      </c>
      <c r="L2144" s="464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9" t="e">
        <v>#N/A</v>
      </c>
      <c r="E2145" s="409" t="e">
        <v>#N/A</v>
      </c>
      <c r="F2145" s="409" t="e">
        <v>#N/A</v>
      </c>
      <c r="G2145" s="409" t="e">
        <v>#N/A</v>
      </c>
      <c r="H2145" s="465" t="e">
        <v>#N/A</v>
      </c>
      <c r="I2145" s="465" t="e">
        <v>#N/A</v>
      </c>
      <c r="J2145" s="465" t="e">
        <v>#N/A</v>
      </c>
      <c r="K2145" s="465" t="e">
        <v>#N/A</v>
      </c>
      <c r="L2145" s="464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9" t="e">
        <v>#N/A</v>
      </c>
      <c r="E2146" s="409" t="e">
        <v>#N/A</v>
      </c>
      <c r="F2146" s="409" t="e">
        <v>#N/A</v>
      </c>
      <c r="G2146" s="409" t="e">
        <v>#N/A</v>
      </c>
      <c r="H2146" s="465" t="e">
        <v>#N/A</v>
      </c>
      <c r="I2146" s="465" t="e">
        <v>#N/A</v>
      </c>
      <c r="J2146" s="465" t="e">
        <v>#N/A</v>
      </c>
      <c r="K2146" s="465" t="e">
        <v>#N/A</v>
      </c>
      <c r="L2146" s="464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9" t="e">
        <v>#N/A</v>
      </c>
      <c r="E2147" s="409" t="e">
        <v>#N/A</v>
      </c>
      <c r="F2147" s="409" t="e">
        <v>#N/A</v>
      </c>
      <c r="G2147" s="409" t="e">
        <v>#N/A</v>
      </c>
      <c r="H2147" s="465" t="e">
        <v>#N/A</v>
      </c>
      <c r="I2147" s="465" t="e">
        <v>#N/A</v>
      </c>
      <c r="J2147" s="465" t="e">
        <v>#N/A</v>
      </c>
      <c r="K2147" s="465" t="e">
        <v>#N/A</v>
      </c>
      <c r="L2147" s="464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9" t="e">
        <v>#N/A</v>
      </c>
      <c r="E2148" s="409" t="e">
        <v>#N/A</v>
      </c>
      <c r="F2148" s="409" t="e">
        <v>#N/A</v>
      </c>
      <c r="G2148" s="409" t="e">
        <v>#N/A</v>
      </c>
      <c r="H2148" s="465" t="e">
        <v>#N/A</v>
      </c>
      <c r="I2148" s="465" t="e">
        <v>#N/A</v>
      </c>
      <c r="J2148" s="465" t="e">
        <v>#N/A</v>
      </c>
      <c r="K2148" s="465" t="e">
        <v>#N/A</v>
      </c>
      <c r="L2148" s="464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9" t="e">
        <v>#N/A</v>
      </c>
      <c r="E2149" s="409" t="e">
        <v>#N/A</v>
      </c>
      <c r="F2149" s="409" t="e">
        <v>#N/A</v>
      </c>
      <c r="G2149" s="409" t="e">
        <v>#N/A</v>
      </c>
      <c r="H2149" s="465" t="e">
        <v>#N/A</v>
      </c>
      <c r="I2149" s="465" t="e">
        <v>#N/A</v>
      </c>
      <c r="J2149" s="465" t="e">
        <v>#N/A</v>
      </c>
      <c r="K2149" s="465" t="e">
        <v>#N/A</v>
      </c>
      <c r="L2149" s="464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9" t="e">
        <v>#N/A</v>
      </c>
      <c r="E2150" s="409" t="e">
        <v>#N/A</v>
      </c>
      <c r="F2150" s="409" t="e">
        <v>#N/A</v>
      </c>
      <c r="G2150" s="409" t="e">
        <v>#N/A</v>
      </c>
      <c r="H2150" s="465" t="e">
        <v>#N/A</v>
      </c>
      <c r="I2150" s="465" t="e">
        <v>#N/A</v>
      </c>
      <c r="J2150" s="465" t="e">
        <v>#N/A</v>
      </c>
      <c r="K2150" s="465" t="e">
        <v>#N/A</v>
      </c>
      <c r="L2150" s="464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9" t="e">
        <v>#N/A</v>
      </c>
      <c r="E2151" s="409" t="e">
        <v>#N/A</v>
      </c>
      <c r="F2151" s="409" t="e">
        <v>#N/A</v>
      </c>
      <c r="G2151" s="409" t="e">
        <v>#N/A</v>
      </c>
      <c r="H2151" s="465" t="e">
        <v>#N/A</v>
      </c>
      <c r="I2151" s="465" t="e">
        <v>#N/A</v>
      </c>
      <c r="J2151" s="465" t="e">
        <v>#N/A</v>
      </c>
      <c r="K2151" s="465" t="e">
        <v>#N/A</v>
      </c>
      <c r="L2151" s="464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9" t="e">
        <v>#N/A</v>
      </c>
      <c r="E2152" s="409" t="e">
        <v>#N/A</v>
      </c>
      <c r="F2152" s="409" t="e">
        <v>#N/A</v>
      </c>
      <c r="G2152" s="409" t="e">
        <v>#N/A</v>
      </c>
      <c r="H2152" s="465" t="e">
        <v>#N/A</v>
      </c>
      <c r="I2152" s="465" t="e">
        <v>#N/A</v>
      </c>
      <c r="J2152" s="465" t="e">
        <v>#N/A</v>
      </c>
      <c r="K2152" s="465" t="e">
        <v>#N/A</v>
      </c>
      <c r="L2152" s="464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9" t="e">
        <v>#N/A</v>
      </c>
      <c r="E2153" s="409" t="e">
        <v>#N/A</v>
      </c>
      <c r="F2153" s="409" t="e">
        <v>#N/A</v>
      </c>
      <c r="G2153" s="409" t="e">
        <v>#N/A</v>
      </c>
      <c r="H2153" s="465" t="e">
        <v>#N/A</v>
      </c>
      <c r="I2153" s="465" t="e">
        <v>#N/A</v>
      </c>
      <c r="J2153" s="465" t="e">
        <v>#N/A</v>
      </c>
      <c r="K2153" s="465" t="e">
        <v>#N/A</v>
      </c>
      <c r="L2153" s="464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9" t="e">
        <v>#N/A</v>
      </c>
      <c r="E2154" s="409" t="e">
        <v>#N/A</v>
      </c>
      <c r="F2154" s="409" t="e">
        <v>#N/A</v>
      </c>
      <c r="G2154" s="409" t="e">
        <v>#N/A</v>
      </c>
      <c r="H2154" s="465" t="e">
        <v>#N/A</v>
      </c>
      <c r="I2154" s="465" t="e">
        <v>#N/A</v>
      </c>
      <c r="J2154" s="465" t="e">
        <v>#N/A</v>
      </c>
      <c r="K2154" s="465" t="e">
        <v>#N/A</v>
      </c>
      <c r="L2154" s="464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9" t="e">
        <v>#N/A</v>
      </c>
      <c r="E2155" s="409" t="e">
        <v>#N/A</v>
      </c>
      <c r="F2155" s="409" t="e">
        <v>#N/A</v>
      </c>
      <c r="G2155" s="409" t="e">
        <v>#N/A</v>
      </c>
      <c r="H2155" s="465" t="e">
        <v>#N/A</v>
      </c>
      <c r="I2155" s="465" t="e">
        <v>#N/A</v>
      </c>
      <c r="J2155" s="465" t="e">
        <v>#N/A</v>
      </c>
      <c r="K2155" s="465" t="e">
        <v>#N/A</v>
      </c>
      <c r="L2155" s="464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9" t="e">
        <v>#N/A</v>
      </c>
      <c r="E2156" s="409" t="e">
        <v>#N/A</v>
      </c>
      <c r="F2156" s="409" t="e">
        <v>#N/A</v>
      </c>
      <c r="G2156" s="409" t="e">
        <v>#N/A</v>
      </c>
      <c r="H2156" s="465" t="e">
        <v>#N/A</v>
      </c>
      <c r="I2156" s="465" t="e">
        <v>#N/A</v>
      </c>
      <c r="J2156" s="465" t="e">
        <v>#N/A</v>
      </c>
      <c r="K2156" s="465" t="e">
        <v>#N/A</v>
      </c>
      <c r="L2156" s="464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9" t="e">
        <v>#N/A</v>
      </c>
      <c r="E2157" s="409" t="e">
        <v>#N/A</v>
      </c>
      <c r="F2157" s="409" t="e">
        <v>#N/A</v>
      </c>
      <c r="G2157" s="409" t="e">
        <v>#N/A</v>
      </c>
      <c r="H2157" s="465" t="e">
        <v>#N/A</v>
      </c>
      <c r="I2157" s="465" t="e">
        <v>#N/A</v>
      </c>
      <c r="J2157" s="465" t="e">
        <v>#N/A</v>
      </c>
      <c r="K2157" s="465" t="e">
        <v>#N/A</v>
      </c>
      <c r="L2157" s="464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9" t="e">
        <v>#N/A</v>
      </c>
      <c r="E2158" s="409" t="e">
        <v>#N/A</v>
      </c>
      <c r="F2158" s="409" t="e">
        <v>#N/A</v>
      </c>
      <c r="G2158" s="409" t="e">
        <v>#N/A</v>
      </c>
      <c r="H2158" s="465" t="e">
        <v>#N/A</v>
      </c>
      <c r="I2158" s="465" t="e">
        <v>#N/A</v>
      </c>
      <c r="J2158" s="465" t="e">
        <v>#N/A</v>
      </c>
      <c r="K2158" s="465" t="e">
        <v>#N/A</v>
      </c>
      <c r="L2158" s="464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9" t="e">
        <v>#N/A</v>
      </c>
      <c r="E2159" s="409" t="e">
        <v>#N/A</v>
      </c>
      <c r="F2159" s="409" t="e">
        <v>#N/A</v>
      </c>
      <c r="G2159" s="409" t="e">
        <v>#N/A</v>
      </c>
      <c r="H2159" s="465" t="e">
        <v>#N/A</v>
      </c>
      <c r="I2159" s="465" t="e">
        <v>#N/A</v>
      </c>
      <c r="J2159" s="465" t="e">
        <v>#N/A</v>
      </c>
      <c r="K2159" s="465" t="e">
        <v>#N/A</v>
      </c>
      <c r="L2159" s="464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9" t="e">
        <v>#N/A</v>
      </c>
      <c r="E2160" s="409" t="e">
        <v>#N/A</v>
      </c>
      <c r="F2160" s="409" t="e">
        <v>#N/A</v>
      </c>
      <c r="G2160" s="409" t="e">
        <v>#N/A</v>
      </c>
      <c r="H2160" s="465" t="e">
        <v>#N/A</v>
      </c>
      <c r="I2160" s="465" t="e">
        <v>#N/A</v>
      </c>
      <c r="J2160" s="465" t="e">
        <v>#N/A</v>
      </c>
      <c r="K2160" s="465" t="e">
        <v>#N/A</v>
      </c>
      <c r="L2160" s="464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9" t="e">
        <v>#N/A</v>
      </c>
      <c r="E2161" s="409" t="e">
        <v>#N/A</v>
      </c>
      <c r="F2161" s="409" t="e">
        <v>#N/A</v>
      </c>
      <c r="G2161" s="409" t="e">
        <v>#N/A</v>
      </c>
      <c r="H2161" s="465" t="e">
        <v>#N/A</v>
      </c>
      <c r="I2161" s="465" t="e">
        <v>#N/A</v>
      </c>
      <c r="J2161" s="465" t="e">
        <v>#N/A</v>
      </c>
      <c r="K2161" s="465" t="e">
        <v>#N/A</v>
      </c>
      <c r="L2161" s="464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9" t="e">
        <v>#N/A</v>
      </c>
      <c r="E2162" s="409" t="e">
        <v>#N/A</v>
      </c>
      <c r="F2162" s="409" t="e">
        <v>#N/A</v>
      </c>
      <c r="G2162" s="409" t="e">
        <v>#N/A</v>
      </c>
      <c r="H2162" s="465" t="e">
        <v>#N/A</v>
      </c>
      <c r="I2162" s="465" t="e">
        <v>#N/A</v>
      </c>
      <c r="J2162" s="465" t="e">
        <v>#N/A</v>
      </c>
      <c r="K2162" s="465" t="e">
        <v>#N/A</v>
      </c>
      <c r="L2162" s="464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9" t="e">
        <v>#N/A</v>
      </c>
      <c r="E2163" s="409" t="e">
        <v>#N/A</v>
      </c>
      <c r="F2163" s="409" t="e">
        <v>#N/A</v>
      </c>
      <c r="G2163" s="409" t="e">
        <v>#N/A</v>
      </c>
      <c r="H2163" s="465" t="e">
        <v>#N/A</v>
      </c>
      <c r="I2163" s="465" t="e">
        <v>#N/A</v>
      </c>
      <c r="J2163" s="465" t="e">
        <v>#N/A</v>
      </c>
      <c r="K2163" s="465" t="e">
        <v>#N/A</v>
      </c>
      <c r="L2163" s="464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9" t="e">
        <v>#N/A</v>
      </c>
      <c r="E2164" s="409" t="e">
        <v>#N/A</v>
      </c>
      <c r="F2164" s="409" t="e">
        <v>#N/A</v>
      </c>
      <c r="G2164" s="409" t="e">
        <v>#N/A</v>
      </c>
      <c r="H2164" s="465" t="e">
        <v>#N/A</v>
      </c>
      <c r="I2164" s="465" t="e">
        <v>#N/A</v>
      </c>
      <c r="J2164" s="465" t="e">
        <v>#N/A</v>
      </c>
      <c r="K2164" s="465" t="e">
        <v>#N/A</v>
      </c>
      <c r="L2164" s="464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9" t="e">
        <v>#N/A</v>
      </c>
      <c r="E2165" s="409" t="e">
        <v>#N/A</v>
      </c>
      <c r="F2165" s="409" t="e">
        <v>#N/A</v>
      </c>
      <c r="G2165" s="409" t="e">
        <v>#N/A</v>
      </c>
      <c r="H2165" s="465" t="e">
        <v>#N/A</v>
      </c>
      <c r="I2165" s="465" t="e">
        <v>#N/A</v>
      </c>
      <c r="J2165" s="465" t="e">
        <v>#N/A</v>
      </c>
      <c r="K2165" s="465" t="e">
        <v>#N/A</v>
      </c>
      <c r="L2165" s="464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9" t="e">
        <v>#N/A</v>
      </c>
      <c r="E2166" s="409" t="e">
        <v>#N/A</v>
      </c>
      <c r="F2166" s="409" t="e">
        <v>#N/A</v>
      </c>
      <c r="G2166" s="409" t="e">
        <v>#N/A</v>
      </c>
      <c r="H2166" s="465" t="e">
        <v>#N/A</v>
      </c>
      <c r="I2166" s="465" t="e">
        <v>#N/A</v>
      </c>
      <c r="J2166" s="465" t="e">
        <v>#N/A</v>
      </c>
      <c r="K2166" s="465" t="e">
        <v>#N/A</v>
      </c>
      <c r="L2166" s="464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/>
      </c>
      <c r="C2167" s="185">
        <f t="shared" si="67"/>
        <v>12.32812</v>
      </c>
      <c r="D2167" s="409" t="s">
        <v>8345</v>
      </c>
      <c r="E2167" s="409" t="s">
        <v>8346</v>
      </c>
      <c r="F2167" s="409" t="s">
        <v>68</v>
      </c>
      <c r="G2167" s="409" t="s">
        <v>68</v>
      </c>
      <c r="H2167" s="465">
        <v>301.84699999999998</v>
      </c>
      <c r="I2167" s="465">
        <v>12.32812</v>
      </c>
      <c r="J2167" s="465">
        <v>55.826300000000003</v>
      </c>
      <c r="K2167" s="465">
        <v>5233.6374999999998</v>
      </c>
      <c r="L2167" s="464" t="s">
        <v>537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S-sada kovania SPS PV</v>
      </c>
      <c r="C2168" s="185">
        <f t="shared" si="67"/>
        <v>16.710049999999999</v>
      </c>
      <c r="D2168" s="409" t="s">
        <v>8347</v>
      </c>
      <c r="E2168" s="409" t="s">
        <v>8348</v>
      </c>
      <c r="F2168" s="409" t="s">
        <v>8349</v>
      </c>
      <c r="G2168" s="409" t="s">
        <v>68</v>
      </c>
      <c r="H2168" s="465">
        <v>409.13600000000002</v>
      </c>
      <c r="I2168" s="465">
        <v>16.710049999999999</v>
      </c>
      <c r="J2168" s="465">
        <v>75.669280000000001</v>
      </c>
      <c r="K2168" s="465">
        <v>7093.8903200000004</v>
      </c>
      <c r="L2168" s="464" t="s">
        <v>537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S-sada kovania SPS ZV</v>
      </c>
      <c r="C2169" s="185">
        <f t="shared" si="67"/>
        <v>33.360639999999997</v>
      </c>
      <c r="D2169" s="409" t="s">
        <v>8350</v>
      </c>
      <c r="E2169" s="409" t="s">
        <v>8351</v>
      </c>
      <c r="F2169" s="409" t="s">
        <v>8352</v>
      </c>
      <c r="G2169" s="409" t="s">
        <v>68</v>
      </c>
      <c r="H2169" s="465">
        <v>816.81600000000003</v>
      </c>
      <c r="I2169" s="465">
        <v>33.360639999999997</v>
      </c>
      <c r="J2169" s="465">
        <v>151.06929</v>
      </c>
      <c r="K2169" s="465">
        <v>14162.53549</v>
      </c>
      <c r="L2169" s="464" t="s">
        <v>537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S-vodiaca lišta SPS pro šikmé dvere 3m strieborná</v>
      </c>
      <c r="C2170" s="185">
        <f t="shared" si="67"/>
        <v>0</v>
      </c>
      <c r="D2170" s="409" t="s">
        <v>8353</v>
      </c>
      <c r="E2170" s="409" t="s">
        <v>8354</v>
      </c>
      <c r="F2170" s="409" t="s">
        <v>8355</v>
      </c>
      <c r="G2170" s="409" t="s">
        <v>68</v>
      </c>
      <c r="H2170" s="465">
        <v>0</v>
      </c>
      <c r="I2170" s="465">
        <v>0</v>
      </c>
      <c r="J2170" s="465">
        <v>0</v>
      </c>
      <c r="K2170" s="465">
        <v>0</v>
      </c>
      <c r="L2170" s="464" t="s">
        <v>540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S-S06N-dolný vodiaci profil 4,5m strieborný</v>
      </c>
      <c r="C2171" s="185">
        <f t="shared" si="67"/>
        <v>0</v>
      </c>
      <c r="D2171" s="409" t="s">
        <v>8356</v>
      </c>
      <c r="E2171" s="409" t="s">
        <v>8357</v>
      </c>
      <c r="F2171" s="409" t="s">
        <v>8358</v>
      </c>
      <c r="G2171" s="409" t="s">
        <v>68</v>
      </c>
      <c r="H2171" s="465">
        <v>0</v>
      </c>
      <c r="I2171" s="465">
        <v>0</v>
      </c>
      <c r="J2171" s="465">
        <v>0</v>
      </c>
      <c r="K2171" s="465">
        <v>0</v>
      </c>
      <c r="L2171" s="464" t="s">
        <v>540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S-S05-horný vodiaci profil 5m strieborný</v>
      </c>
      <c r="C2172" s="185">
        <f t="shared" si="67"/>
        <v>0</v>
      </c>
      <c r="D2172" s="409" t="s">
        <v>8359</v>
      </c>
      <c r="E2172" s="409" t="s">
        <v>8360</v>
      </c>
      <c r="F2172" s="409" t="s">
        <v>8361</v>
      </c>
      <c r="G2172" s="409" t="s">
        <v>68</v>
      </c>
      <c r="H2172" s="465">
        <v>0</v>
      </c>
      <c r="I2172" s="465">
        <v>0</v>
      </c>
      <c r="J2172" s="465">
        <v>0</v>
      </c>
      <c r="K2172" s="465">
        <v>0</v>
      </c>
      <c r="L2172" s="464" t="s">
        <v>540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/>
      </c>
      <c r="C2173" s="185">
        <f t="shared" si="67"/>
        <v>0.35679</v>
      </c>
      <c r="D2173" s="409" t="s">
        <v>8362</v>
      </c>
      <c r="E2173" s="409" t="s">
        <v>8363</v>
      </c>
      <c r="F2173" s="409" t="s">
        <v>68</v>
      </c>
      <c r="G2173" s="409" t="s">
        <v>68</v>
      </c>
      <c r="H2173" s="465">
        <v>8.7360000000000007</v>
      </c>
      <c r="I2173" s="465">
        <v>0.35679</v>
      </c>
      <c r="J2173" s="465">
        <v>1.61571</v>
      </c>
      <c r="K2173" s="465">
        <v>151.47095999999999</v>
      </c>
      <c r="L2173" s="464" t="s">
        <v>537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U profil oceľový 6m strieborný</v>
      </c>
      <c r="C2174" s="185">
        <f t="shared" si="67"/>
        <v>51.811</v>
      </c>
      <c r="D2174" s="409" t="s">
        <v>1694</v>
      </c>
      <c r="E2174" s="409" t="s">
        <v>2121</v>
      </c>
      <c r="F2174" s="409" t="s">
        <v>2297</v>
      </c>
      <c r="G2174" s="409" t="s">
        <v>6122</v>
      </c>
      <c r="H2174" s="465">
        <v>1373.59816</v>
      </c>
      <c r="I2174" s="465">
        <v>51.811</v>
      </c>
      <c r="J2174" s="465">
        <v>176.7646</v>
      </c>
      <c r="K2174" s="465">
        <v>20064.732769999999</v>
      </c>
      <c r="L2174" s="464" t="s">
        <v>539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/>
      </c>
      <c r="C2175" s="185">
        <f t="shared" si="67"/>
        <v>94.644049999999993</v>
      </c>
      <c r="D2175" s="409" t="s">
        <v>8364</v>
      </c>
      <c r="E2175" s="409" t="s">
        <v>8365</v>
      </c>
      <c r="F2175" s="409" t="s">
        <v>68</v>
      </c>
      <c r="G2175" s="409" t="s">
        <v>8366</v>
      </c>
      <c r="H2175" s="465">
        <v>2348.6407599999998</v>
      </c>
      <c r="I2175" s="465">
        <v>94.644049999999993</v>
      </c>
      <c r="J2175" s="465">
        <v>429.26961</v>
      </c>
      <c r="K2175" s="465">
        <v>41299.683080000003</v>
      </c>
      <c r="L2175" s="464" t="s">
        <v>539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9" t="e">
        <v>#N/A</v>
      </c>
      <c r="E2176" s="409" t="e">
        <v>#N/A</v>
      </c>
      <c r="F2176" s="409" t="e">
        <v>#N/A</v>
      </c>
      <c r="G2176" s="409" t="e">
        <v>#N/A</v>
      </c>
      <c r="H2176" s="465" t="e">
        <v>#N/A</v>
      </c>
      <c r="I2176" s="465" t="e">
        <v>#N/A</v>
      </c>
      <c r="J2176" s="465" t="e">
        <v>#N/A</v>
      </c>
      <c r="K2176" s="465" t="e">
        <v>#N/A</v>
      </c>
      <c r="L2176" s="464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9" t="e">
        <v>#N/A</v>
      </c>
      <c r="E2177" s="409" t="e">
        <v>#N/A</v>
      </c>
      <c r="F2177" s="409" t="e">
        <v>#N/A</v>
      </c>
      <c r="G2177" s="409" t="e">
        <v>#N/A</v>
      </c>
      <c r="H2177" s="465" t="e">
        <v>#N/A</v>
      </c>
      <c r="I2177" s="465" t="e">
        <v>#N/A</v>
      </c>
      <c r="J2177" s="465" t="e">
        <v>#N/A</v>
      </c>
      <c r="K2177" s="465" t="e">
        <v>#N/A</v>
      </c>
      <c r="L2177" s="464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9" t="e">
        <v>#N/A</v>
      </c>
      <c r="E2178" s="409" t="e">
        <v>#N/A</v>
      </c>
      <c r="F2178" s="409" t="e">
        <v>#N/A</v>
      </c>
      <c r="G2178" s="409" t="e">
        <v>#N/A</v>
      </c>
      <c r="H2178" s="465" t="e">
        <v>#N/A</v>
      </c>
      <c r="I2178" s="465" t="e">
        <v>#N/A</v>
      </c>
      <c r="J2178" s="465" t="e">
        <v>#N/A</v>
      </c>
      <c r="K2178" s="465" t="e">
        <v>#N/A</v>
      </c>
      <c r="L2178" s="464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Kartáč zásuvný 6,7x7mm šedý</v>
      </c>
      <c r="C2179" s="185">
        <f t="shared" si="67"/>
        <v>0.37691999999999998</v>
      </c>
      <c r="D2179" s="409" t="s">
        <v>8367</v>
      </c>
      <c r="E2179" s="409" t="s">
        <v>8368</v>
      </c>
      <c r="F2179" s="409" t="s">
        <v>8367</v>
      </c>
      <c r="G2179" s="409" t="s">
        <v>8369</v>
      </c>
      <c r="H2179" s="465">
        <v>9.7034900000000004</v>
      </c>
      <c r="I2179" s="465">
        <v>0.37691999999999998</v>
      </c>
      <c r="J2179" s="465">
        <v>1.6185099999999999</v>
      </c>
      <c r="K2179" s="465">
        <v>162.70549</v>
      </c>
      <c r="L2179" s="464" t="s">
        <v>539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S-sada kovania S65</v>
      </c>
      <c r="C2180" s="185">
        <f t="shared" ref="C2180:C2243" si="69">IF($A$2=1,H2180,IF($A$2=2,I2180,IF($A$2=3,J2180,IF($A$2=4,K2180,IF($A$2&gt;4,O2180,"zadat jazyk")))))</f>
        <v>12.19061</v>
      </c>
      <c r="D2180" s="409" t="s">
        <v>8370</v>
      </c>
      <c r="E2180" s="409" t="s">
        <v>8371</v>
      </c>
      <c r="F2180" s="409" t="s">
        <v>8372</v>
      </c>
      <c r="G2180" s="409" t="s">
        <v>8373</v>
      </c>
      <c r="H2180" s="465">
        <v>298.48</v>
      </c>
      <c r="I2180" s="465">
        <v>12.19061</v>
      </c>
      <c r="J2180" s="465">
        <v>55.203560000000003</v>
      </c>
      <c r="K2180" s="465">
        <v>5175.2580600000001</v>
      </c>
      <c r="L2180" s="464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horný vod.profil 3,5m,str</v>
      </c>
      <c r="C2181" s="185">
        <f t="shared" si="69"/>
        <v>0</v>
      </c>
      <c r="D2181" s="409" t="s">
        <v>8374</v>
      </c>
      <c r="E2181" s="409" t="s">
        <v>8375</v>
      </c>
      <c r="F2181" s="409" t="s">
        <v>8376</v>
      </c>
      <c r="G2181" s="409" t="s">
        <v>8377</v>
      </c>
      <c r="H2181" s="465">
        <v>0</v>
      </c>
      <c r="I2181" s="465">
        <v>0</v>
      </c>
      <c r="J2181" s="465">
        <v>0</v>
      </c>
      <c r="K2181" s="465">
        <v>0</v>
      </c>
      <c r="L2181" s="464" t="s">
        <v>537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horný vod.profil 4m,str</v>
      </c>
      <c r="C2182" s="185">
        <f t="shared" si="69"/>
        <v>67.078100000000006</v>
      </c>
      <c r="D2182" s="409" t="s">
        <v>8378</v>
      </c>
      <c r="E2182" s="409" t="s">
        <v>8379</v>
      </c>
      <c r="F2182" s="409" t="s">
        <v>8380</v>
      </c>
      <c r="G2182" s="409" t="s">
        <v>8381</v>
      </c>
      <c r="H2182" s="465">
        <v>1642.3679999999999</v>
      </c>
      <c r="I2182" s="465">
        <v>67.078100000000006</v>
      </c>
      <c r="J2182" s="465">
        <v>303.75429000000003</v>
      </c>
      <c r="K2182" s="465">
        <v>28476.541939999999</v>
      </c>
      <c r="L2182" s="464" t="s">
        <v>537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DOLNÝ VOD.profil 3m alu</v>
      </c>
      <c r="C2183" s="185">
        <f t="shared" si="69"/>
        <v>0</v>
      </c>
      <c r="D2183" s="409" t="s">
        <v>8382</v>
      </c>
      <c r="E2183" s="409" t="s">
        <v>8383</v>
      </c>
      <c r="F2183" s="409" t="s">
        <v>8384</v>
      </c>
      <c r="G2183" s="409" t="s">
        <v>8385</v>
      </c>
      <c r="H2183" s="465">
        <v>0</v>
      </c>
      <c r="I2183" s="465">
        <v>0</v>
      </c>
      <c r="J2183" s="465">
        <v>0</v>
      </c>
      <c r="K2183" s="465">
        <v>0</v>
      </c>
      <c r="L2183" s="464" t="s">
        <v>540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Posuvné interiérové kovanie 1390 40kg</v>
      </c>
      <c r="C2184" s="185">
        <f t="shared" si="69"/>
        <v>20.13693</v>
      </c>
      <c r="D2184" s="409" t="s">
        <v>8386</v>
      </c>
      <c r="E2184" s="409" t="s">
        <v>8387</v>
      </c>
      <c r="F2184" s="409" t="s">
        <v>8388</v>
      </c>
      <c r="G2184" s="409" t="s">
        <v>8389</v>
      </c>
      <c r="H2184" s="465">
        <v>499.70823000000001</v>
      </c>
      <c r="I2184" s="465">
        <v>20.13693</v>
      </c>
      <c r="J2184" s="465">
        <v>91.333479999999994</v>
      </c>
      <c r="K2184" s="465">
        <v>8787.1213800000005</v>
      </c>
      <c r="L2184" s="464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Posuvné interiérové kovanie 1391/120 - 40kg</v>
      </c>
      <c r="C2185" s="185">
        <f t="shared" si="69"/>
        <v>37.9131</v>
      </c>
      <c r="D2185" s="409" t="s">
        <v>8390</v>
      </c>
      <c r="E2185" s="409" t="s">
        <v>8391</v>
      </c>
      <c r="F2185" s="409" t="s">
        <v>8392</v>
      </c>
      <c r="G2185" s="409" t="s">
        <v>8393</v>
      </c>
      <c r="H2185" s="465">
        <v>940.83330999999998</v>
      </c>
      <c r="I2185" s="465">
        <v>37.9131</v>
      </c>
      <c r="J2185" s="465">
        <v>171.95952</v>
      </c>
      <c r="K2185" s="465">
        <v>15909.001630000001</v>
      </c>
      <c r="L2185" s="464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Posuvné interiérové kovanie 1391/155 40kg</v>
      </c>
      <c r="C2186" s="185">
        <f t="shared" si="69"/>
        <v>43.408549999999998</v>
      </c>
      <c r="D2186" s="409" t="s">
        <v>8394</v>
      </c>
      <c r="E2186" s="409" t="s">
        <v>8395</v>
      </c>
      <c r="F2186" s="409" t="s">
        <v>8396</v>
      </c>
      <c r="G2186" s="409" t="s">
        <v>8397</v>
      </c>
      <c r="H2186" s="465">
        <v>1077.2052200000001</v>
      </c>
      <c r="I2186" s="465">
        <v>43.408549999999998</v>
      </c>
      <c r="J2186" s="465">
        <v>196.88471000000001</v>
      </c>
      <c r="K2186" s="465">
        <v>18188.088299999999</v>
      </c>
      <c r="L2186" s="464" t="s">
        <v>695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Posuvné interiérové kovanie 1391/190 40kg</v>
      </c>
      <c r="C2187" s="185">
        <f t="shared" si="69"/>
        <v>48.757939999999998</v>
      </c>
      <c r="D2187" s="409" t="s">
        <v>8398</v>
      </c>
      <c r="E2187" s="409" t="s">
        <v>8399</v>
      </c>
      <c r="F2187" s="409" t="s">
        <v>8400</v>
      </c>
      <c r="G2187" s="409" t="s">
        <v>8401</v>
      </c>
      <c r="H2187" s="465">
        <v>1209.95343</v>
      </c>
      <c r="I2187" s="465">
        <v>48.757939999999998</v>
      </c>
      <c r="J2187" s="465">
        <v>221.14759000000001</v>
      </c>
      <c r="K2187" s="465">
        <v>20144.321779999998</v>
      </c>
      <c r="L2187" s="464" t="s">
        <v>695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Posuvné interiérové kovanie 1391/230 40kg</v>
      </c>
      <c r="C2188" s="185">
        <f t="shared" si="69"/>
        <v>55.012709999999998</v>
      </c>
      <c r="D2188" s="409" t="s">
        <v>8402</v>
      </c>
      <c r="E2188" s="409" t="s">
        <v>8399</v>
      </c>
      <c r="F2188" s="409" t="s">
        <v>8403</v>
      </c>
      <c r="G2188" s="409" t="s">
        <v>8404</v>
      </c>
      <c r="H2188" s="465">
        <v>1365.16858</v>
      </c>
      <c r="I2188" s="465">
        <v>55.012709999999998</v>
      </c>
      <c r="J2188" s="465">
        <v>249.51683</v>
      </c>
      <c r="K2188" s="465">
        <v>22742.013299999999</v>
      </c>
      <c r="L2188" s="464" t="s">
        <v>695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Posuvné interiérové kovanie 1391/280 40kg</v>
      </c>
      <c r="C2189" s="185">
        <f t="shared" si="69"/>
        <v>62.404040000000002</v>
      </c>
      <c r="D2189" s="409" t="s">
        <v>8405</v>
      </c>
      <c r="E2189" s="409" t="s">
        <v>8406</v>
      </c>
      <c r="F2189" s="409" t="s">
        <v>8407</v>
      </c>
      <c r="G2189" s="409" t="s">
        <v>8408</v>
      </c>
      <c r="H2189" s="465">
        <v>1548.5881999999999</v>
      </c>
      <c r="I2189" s="465">
        <v>62.404040000000002</v>
      </c>
      <c r="J2189" s="465">
        <v>283.04109</v>
      </c>
      <c r="K2189" s="465">
        <v>24999.859680000001</v>
      </c>
      <c r="L2189" s="464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Posuv.int.kov. 1391/330 - 40kg</v>
      </c>
      <c r="C2190" s="185">
        <f t="shared" si="69"/>
        <v>70.021709999999999</v>
      </c>
      <c r="D2190" s="409" t="s">
        <v>8409</v>
      </c>
      <c r="E2190" s="409" t="s">
        <v>8410</v>
      </c>
      <c r="F2190" s="409" t="s">
        <v>8411</v>
      </c>
      <c r="G2190" s="409" t="s">
        <v>8412</v>
      </c>
      <c r="H2190" s="465">
        <v>1737.62455</v>
      </c>
      <c r="I2190" s="465">
        <v>70.021709999999999</v>
      </c>
      <c r="J2190" s="465">
        <v>317.59195999999997</v>
      </c>
      <c r="K2190" s="465">
        <v>27895.97783</v>
      </c>
      <c r="L2190" s="464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U profil oceľový 2m strieborný</v>
      </c>
      <c r="C2191" s="185">
        <f t="shared" si="69"/>
        <v>16.91469</v>
      </c>
      <c r="D2191" s="409" t="s">
        <v>3022</v>
      </c>
      <c r="E2191" s="409" t="s">
        <v>2122</v>
      </c>
      <c r="F2191" s="409" t="s">
        <v>2298</v>
      </c>
      <c r="G2191" s="409" t="s">
        <v>2598</v>
      </c>
      <c r="H2191" s="465">
        <v>448.43736999999999</v>
      </c>
      <c r="I2191" s="465">
        <v>16.91469</v>
      </c>
      <c r="J2191" s="465">
        <v>57.708179999999999</v>
      </c>
      <c r="K2191" s="465">
        <v>6550.51548</v>
      </c>
      <c r="L2191" s="464" t="s">
        <v>539</v>
      </c>
      <c r="O2191">
        <v>14.3</v>
      </c>
      <c r="P2191" t="s">
        <v>10203</v>
      </c>
    </row>
    <row r="2192" spans="1:16" ht="14.4" x14ac:dyDescent="0.3">
      <c r="A2192">
        <v>220614</v>
      </c>
      <c r="B2192" t="str">
        <f t="shared" si="68"/>
        <v>SEVROLL sada Herkules plus 40kg pre 2 krídla</v>
      </c>
      <c r="C2192" s="185" t="e">
        <f t="shared" si="69"/>
        <v>#N/A</v>
      </c>
      <c r="D2192" s="409" t="s">
        <v>3023</v>
      </c>
      <c r="E2192" s="409" t="s">
        <v>2123</v>
      </c>
      <c r="F2192" s="409" t="s">
        <v>2299</v>
      </c>
      <c r="G2192" s="409" t="s">
        <v>2599</v>
      </c>
      <c r="H2192" s="465" t="e">
        <v>#N/A</v>
      </c>
      <c r="I2192" s="465" t="e">
        <v>#N/A</v>
      </c>
      <c r="J2192" s="465" t="e">
        <v>#N/A</v>
      </c>
      <c r="K2192" s="465" t="e">
        <v>#N/A</v>
      </c>
      <c r="L2192" s="464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str">
        <f t="shared" si="68"/>
        <v>SEVROLL vodítko pre skládacie dvere Herkules</v>
      </c>
      <c r="C2193" s="185" t="e">
        <f t="shared" si="69"/>
        <v>#N/A</v>
      </c>
      <c r="D2193" s="409" t="s">
        <v>3024</v>
      </c>
      <c r="E2193" s="409" t="s">
        <v>2124</v>
      </c>
      <c r="F2193" s="409" t="s">
        <v>2300</v>
      </c>
      <c r="G2193" s="409" t="s">
        <v>2600</v>
      </c>
      <c r="H2193" s="465" t="e">
        <v>#N/A</v>
      </c>
      <c r="I2193" s="465" t="e">
        <v>#N/A</v>
      </c>
      <c r="J2193" s="465" t="e">
        <v>#N/A</v>
      </c>
      <c r="K2193" s="465" t="e">
        <v>#N/A</v>
      </c>
      <c r="L2193" s="464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stredový záves pružinový strieborný</v>
      </c>
      <c r="C2194" s="185">
        <f t="shared" si="69"/>
        <v>3.3569200000000001</v>
      </c>
      <c r="D2194" s="409" t="s">
        <v>3025</v>
      </c>
      <c r="E2194" s="409" t="s">
        <v>2125</v>
      </c>
      <c r="F2194" s="409" t="s">
        <v>2301</v>
      </c>
      <c r="G2194" s="409" t="s">
        <v>2601</v>
      </c>
      <c r="H2194" s="465">
        <v>88.997569999999996</v>
      </c>
      <c r="I2194" s="465">
        <v>3.3569200000000001</v>
      </c>
      <c r="J2194" s="465">
        <v>11.45285</v>
      </c>
      <c r="K2194" s="465">
        <v>1300.0254199999999</v>
      </c>
      <c r="L2194" s="464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str">
        <f t="shared" si="68"/>
        <v>SEVROLL Herkules plus horné vedenie 1,5m</v>
      </c>
      <c r="C2195" s="185" t="e">
        <f t="shared" si="69"/>
        <v>#N/A</v>
      </c>
      <c r="D2195" s="409" t="s">
        <v>3026</v>
      </c>
      <c r="E2195" s="409" t="s">
        <v>2126</v>
      </c>
      <c r="F2195" s="409" t="s">
        <v>2302</v>
      </c>
      <c r="G2195" s="409" t="s">
        <v>2602</v>
      </c>
      <c r="H2195" s="465" t="e">
        <v>#N/A</v>
      </c>
      <c r="I2195" s="465" t="e">
        <v>#N/A</v>
      </c>
      <c r="J2195" s="465" t="e">
        <v>#N/A</v>
      </c>
      <c r="K2195" s="465" t="e">
        <v>#N/A</v>
      </c>
      <c r="L2195" s="464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– pliešok</v>
      </c>
      <c r="C2196" s="185">
        <f t="shared" si="69"/>
        <v>0</v>
      </c>
      <c r="D2196" s="409" t="s">
        <v>8413</v>
      </c>
      <c r="E2196" s="409" t="s">
        <v>8414</v>
      </c>
      <c r="F2196" s="409" t="s">
        <v>8415</v>
      </c>
      <c r="G2196" s="409" t="s">
        <v>8416</v>
      </c>
      <c r="H2196" s="465">
        <v>0</v>
      </c>
      <c r="I2196" s="465">
        <v>0</v>
      </c>
      <c r="J2196" s="465">
        <v>0</v>
      </c>
      <c r="K2196" s="465">
        <v>0</v>
      </c>
      <c r="L2196" s="464" t="s">
        <v>540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9" t="e">
        <v>#N/A</v>
      </c>
      <c r="E2197" s="409" t="e">
        <v>#N/A</v>
      </c>
      <c r="F2197" s="409" t="e">
        <v>#N/A</v>
      </c>
      <c r="G2197" s="409" t="e">
        <v>#N/A</v>
      </c>
      <c r="H2197" s="465" t="e">
        <v>#N/A</v>
      </c>
      <c r="I2197" s="465" t="e">
        <v>#N/A</v>
      </c>
      <c r="J2197" s="465" t="e">
        <v>#N/A</v>
      </c>
      <c r="K2197" s="465" t="e">
        <v>#N/A</v>
      </c>
      <c r="L2197" s="464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9" t="e">
        <v>#N/A</v>
      </c>
      <c r="E2198" s="409" t="e">
        <v>#N/A</v>
      </c>
      <c r="F2198" s="409" t="e">
        <v>#N/A</v>
      </c>
      <c r="G2198" s="409" t="e">
        <v>#N/A</v>
      </c>
      <c r="H2198" s="465" t="e">
        <v>#N/A</v>
      </c>
      <c r="I2198" s="465" t="e">
        <v>#N/A</v>
      </c>
      <c r="J2198" s="465" t="e">
        <v>#N/A</v>
      </c>
      <c r="K2198" s="465" t="e">
        <v>#N/A</v>
      </c>
      <c r="L2198" s="464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9" t="e">
        <v>#N/A</v>
      </c>
      <c r="E2199" s="409" t="e">
        <v>#N/A</v>
      </c>
      <c r="F2199" s="409" t="e">
        <v>#N/A</v>
      </c>
      <c r="G2199" s="409" t="e">
        <v>#N/A</v>
      </c>
      <c r="H2199" s="465" t="e">
        <v>#N/A</v>
      </c>
      <c r="I2199" s="465" t="e">
        <v>#N/A</v>
      </c>
      <c r="J2199" s="465" t="e">
        <v>#N/A</v>
      </c>
      <c r="K2199" s="465" t="e">
        <v>#N/A</v>
      </c>
      <c r="L2199" s="464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9" t="e">
        <v>#N/A</v>
      </c>
      <c r="E2200" s="409" t="e">
        <v>#N/A</v>
      </c>
      <c r="F2200" s="409" t="e">
        <v>#N/A</v>
      </c>
      <c r="G2200" s="409" t="e">
        <v>#N/A</v>
      </c>
      <c r="H2200" s="465" t="e">
        <v>#N/A</v>
      </c>
      <c r="I2200" s="465" t="e">
        <v>#N/A</v>
      </c>
      <c r="J2200" s="465" t="e">
        <v>#N/A</v>
      </c>
      <c r="K2200" s="465" t="e">
        <v>#N/A</v>
      </c>
      <c r="L2200" s="464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S-sada kovania S80SC vrátane tlmiča</v>
      </c>
      <c r="C2201" s="185">
        <f t="shared" si="69"/>
        <v>65.888769999999994</v>
      </c>
      <c r="D2201" s="409" t="s">
        <v>8417</v>
      </c>
      <c r="E2201" s="409" t="s">
        <v>8418</v>
      </c>
      <c r="F2201" s="409" t="s">
        <v>8419</v>
      </c>
      <c r="G2201" s="409" t="s">
        <v>8420</v>
      </c>
      <c r="H2201" s="465">
        <v>1613.248</v>
      </c>
      <c r="I2201" s="465">
        <v>65.888769999999994</v>
      </c>
      <c r="J2201" s="465">
        <v>298.36856</v>
      </c>
      <c r="K2201" s="465">
        <v>27971.638719999999</v>
      </c>
      <c r="L2201" s="464" t="s">
        <v>537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9" t="e">
        <v>#N/A</v>
      </c>
      <c r="E2202" s="409" t="e">
        <v>#N/A</v>
      </c>
      <c r="F2202" s="409" t="e">
        <v>#N/A</v>
      </c>
      <c r="G2202" s="409" t="e">
        <v>#N/A</v>
      </c>
      <c r="H2202" s="465" t="e">
        <v>#N/A</v>
      </c>
      <c r="I2202" s="465" t="e">
        <v>#N/A</v>
      </c>
      <c r="J2202" s="465" t="e">
        <v>#N/A</v>
      </c>
      <c r="K2202" s="465" t="e">
        <v>#N/A</v>
      </c>
      <c r="L2202" s="464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9" t="e">
        <v>#N/A</v>
      </c>
      <c r="E2203" s="409" t="e">
        <v>#N/A</v>
      </c>
      <c r="F2203" s="409" t="e">
        <v>#N/A</v>
      </c>
      <c r="G2203" s="409" t="e">
        <v>#N/A</v>
      </c>
      <c r="H2203" s="465" t="e">
        <v>#N/A</v>
      </c>
      <c r="I2203" s="465" t="e">
        <v>#N/A</v>
      </c>
      <c r="J2203" s="465" t="e">
        <v>#N/A</v>
      </c>
      <c r="K2203" s="465" t="e">
        <v>#N/A</v>
      </c>
      <c r="L2203" s="464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9" t="e">
        <v>#N/A</v>
      </c>
      <c r="E2204" s="409" t="e">
        <v>#N/A</v>
      </c>
      <c r="F2204" s="409" t="e">
        <v>#N/A</v>
      </c>
      <c r="G2204" s="409" t="e">
        <v>#N/A</v>
      </c>
      <c r="H2204" s="465" t="e">
        <v>#N/A</v>
      </c>
      <c r="I2204" s="465" t="e">
        <v>#N/A</v>
      </c>
      <c r="J2204" s="465" t="e">
        <v>#N/A</v>
      </c>
      <c r="K2204" s="465" t="e">
        <v>#N/A</v>
      </c>
      <c r="L2204" s="464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9" t="e">
        <v>#N/A</v>
      </c>
      <c r="E2205" s="409" t="e">
        <v>#N/A</v>
      </c>
      <c r="F2205" s="409" t="e">
        <v>#N/A</v>
      </c>
      <c r="G2205" s="409" t="e">
        <v>#N/A</v>
      </c>
      <c r="H2205" s="465" t="e">
        <v>#N/A</v>
      </c>
      <c r="I2205" s="465" t="e">
        <v>#N/A</v>
      </c>
      <c r="J2205" s="465" t="e">
        <v>#N/A</v>
      </c>
      <c r="K2205" s="465" t="e">
        <v>#N/A</v>
      </c>
      <c r="L2205" s="464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9" t="e">
        <v>#N/A</v>
      </c>
      <c r="E2206" s="409" t="e">
        <v>#N/A</v>
      </c>
      <c r="F2206" s="409" t="e">
        <v>#N/A</v>
      </c>
      <c r="G2206" s="409" t="e">
        <v>#N/A</v>
      </c>
      <c r="H2206" s="465" t="e">
        <v>#N/A</v>
      </c>
      <c r="I2206" s="465" t="e">
        <v>#N/A</v>
      </c>
      <c r="J2206" s="465" t="e">
        <v>#N/A</v>
      </c>
      <c r="K2206" s="465" t="e">
        <v>#N/A</v>
      </c>
      <c r="L2206" s="464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bočná krytka profilu Single+pozic.</v>
      </c>
      <c r="C2207" s="185">
        <f t="shared" si="69"/>
        <v>27.01146</v>
      </c>
      <c r="D2207" s="409" t="s">
        <v>3191</v>
      </c>
      <c r="E2207" s="409" t="s">
        <v>6123</v>
      </c>
      <c r="F2207" s="409" t="s">
        <v>6124</v>
      </c>
      <c r="G2207" s="409" t="s">
        <v>6125</v>
      </c>
      <c r="H2207" s="465">
        <v>716.11999000000003</v>
      </c>
      <c r="I2207" s="465">
        <v>27.01146</v>
      </c>
      <c r="J2207" s="465">
        <v>92.155529999999999</v>
      </c>
      <c r="K2207" s="465">
        <v>10460.66942</v>
      </c>
      <c r="L2207" s="464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 S11 strieborný elox 2,7m</v>
      </c>
      <c r="C2208" s="185">
        <f t="shared" si="69"/>
        <v>29.495329999999999</v>
      </c>
      <c r="D2208" s="409" t="s">
        <v>8421</v>
      </c>
      <c r="E2208" s="409" t="s">
        <v>8422</v>
      </c>
      <c r="F2208" s="409" t="s">
        <v>8423</v>
      </c>
      <c r="G2208" s="409" t="s">
        <v>8424</v>
      </c>
      <c r="H2208" s="465">
        <v>722.17600000000004</v>
      </c>
      <c r="I2208" s="465">
        <v>29.495329999999999</v>
      </c>
      <c r="J2208" s="465">
        <v>133.56572</v>
      </c>
      <c r="K2208" s="465">
        <v>12521.6</v>
      </c>
      <c r="L2208" s="464" t="s">
        <v>537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9" t="e">
        <v>#N/A</v>
      </c>
      <c r="E2209" s="409" t="e">
        <v>#N/A</v>
      </c>
      <c r="F2209" s="409" t="e">
        <v>#N/A</v>
      </c>
      <c r="G2209" s="409" t="e">
        <v>#N/A</v>
      </c>
      <c r="H2209" s="465" t="e">
        <v>#N/A</v>
      </c>
      <c r="I2209" s="465" t="e">
        <v>#N/A</v>
      </c>
      <c r="J2209" s="465" t="e">
        <v>#N/A</v>
      </c>
      <c r="K2209" s="465" t="e">
        <v>#N/A</v>
      </c>
      <c r="L2209" s="464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9" t="e">
        <v>#N/A</v>
      </c>
      <c r="E2210" s="409" t="e">
        <v>#N/A</v>
      </c>
      <c r="F2210" s="409" t="e">
        <v>#N/A</v>
      </c>
      <c r="G2210" s="409" t="e">
        <v>#N/A</v>
      </c>
      <c r="H2210" s="465" t="e">
        <v>#N/A</v>
      </c>
      <c r="I2210" s="465" t="e">
        <v>#N/A</v>
      </c>
      <c r="J2210" s="465" t="e">
        <v>#N/A</v>
      </c>
      <c r="K2210" s="465" t="e">
        <v>#N/A</v>
      </c>
      <c r="L2210" s="464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9" t="e">
        <v>#N/A</v>
      </c>
      <c r="E2211" s="409" t="e">
        <v>#N/A</v>
      </c>
      <c r="F2211" s="409" t="e">
        <v>#N/A</v>
      </c>
      <c r="G2211" s="409" t="e">
        <v>#N/A</v>
      </c>
      <c r="H2211" s="465" t="e">
        <v>#N/A</v>
      </c>
      <c r="I2211" s="465" t="e">
        <v>#N/A</v>
      </c>
      <c r="J2211" s="465" t="e">
        <v>#N/A</v>
      </c>
      <c r="K2211" s="465" t="e">
        <v>#N/A</v>
      </c>
      <c r="L2211" s="464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zatvárač s indikátorom 12-18mm</v>
      </c>
      <c r="C2212" s="185">
        <f t="shared" si="69"/>
        <v>30.995999999999999</v>
      </c>
      <c r="D2212" s="409" t="s">
        <v>8425</v>
      </c>
      <c r="E2212" s="409" t="s">
        <v>68</v>
      </c>
      <c r="F2212" s="409" t="s">
        <v>8426</v>
      </c>
      <c r="G2212" s="409" t="s">
        <v>8427</v>
      </c>
      <c r="H2212" s="465">
        <v>808.00800000000004</v>
      </c>
      <c r="I2212" s="465">
        <v>30.995999999999999</v>
      </c>
      <c r="J2212" s="465">
        <v>144.50549000000001</v>
      </c>
      <c r="K2212" s="465">
        <v>12345.20227</v>
      </c>
      <c r="L2212" s="464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Zatvárač s indikátorom obsadené/voľné, pre odsadený  záves, pre lamino 12 mm</v>
      </c>
      <c r="C2213" s="185">
        <f t="shared" si="69"/>
        <v>35.257950000000001</v>
      </c>
      <c r="D2213" s="409" t="s">
        <v>8428</v>
      </c>
      <c r="E2213" s="409" t="s">
        <v>8429</v>
      </c>
      <c r="F2213" s="409" t="s">
        <v>8430</v>
      </c>
      <c r="G2213" s="409" t="s">
        <v>8431</v>
      </c>
      <c r="H2213" s="465">
        <v>919.10910000000001</v>
      </c>
      <c r="I2213" s="465">
        <v>35.257950000000001</v>
      </c>
      <c r="J2213" s="465">
        <v>164.37499</v>
      </c>
      <c r="K2213" s="465">
        <v>14042.66777</v>
      </c>
      <c r="L2213" s="464" t="s">
        <v>538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9" t="e">
        <v>#N/A</v>
      </c>
      <c r="E2214" s="409" t="e">
        <v>#N/A</v>
      </c>
      <c r="F2214" s="409" t="e">
        <v>#N/A</v>
      </c>
      <c r="G2214" s="409" t="e">
        <v>#N/A</v>
      </c>
      <c r="H2214" s="465" t="e">
        <v>#N/A</v>
      </c>
      <c r="I2214" s="465" t="e">
        <v>#N/A</v>
      </c>
      <c r="J2214" s="465" t="e">
        <v>#N/A</v>
      </c>
      <c r="K2214" s="465" t="e">
        <v>#N/A</v>
      </c>
      <c r="L2214" s="464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Dverný doraz</v>
      </c>
      <c r="C2215" s="185">
        <f t="shared" si="69"/>
        <v>4.3910999999999998</v>
      </c>
      <c r="D2215" s="409" t="s">
        <v>8432</v>
      </c>
      <c r="E2215" s="409" t="s">
        <v>8433</v>
      </c>
      <c r="F2215" s="409" t="s">
        <v>8434</v>
      </c>
      <c r="G2215" s="409" t="s">
        <v>8435</v>
      </c>
      <c r="H2215" s="465">
        <v>114.4678</v>
      </c>
      <c r="I2215" s="465">
        <v>4.3910999999999998</v>
      </c>
      <c r="J2215" s="465">
        <v>20.471620000000001</v>
      </c>
      <c r="K2215" s="465">
        <v>1748.9036599999999</v>
      </c>
      <c r="L2215" s="464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Dverná úchytka H38</v>
      </c>
      <c r="C2216" s="185">
        <f t="shared" si="69"/>
        <v>24.538499999999999</v>
      </c>
      <c r="D2216" s="409" t="s">
        <v>8436</v>
      </c>
      <c r="E2216" s="409" t="s">
        <v>8437</v>
      </c>
      <c r="F2216" s="409" t="s">
        <v>8438</v>
      </c>
      <c r="G2216" s="409" t="s">
        <v>8439</v>
      </c>
      <c r="H2216" s="465">
        <v>639.673</v>
      </c>
      <c r="I2216" s="465">
        <v>24.538499999999999</v>
      </c>
      <c r="J2216" s="465">
        <v>114.40018000000001</v>
      </c>
      <c r="K2216" s="465">
        <v>9773.2851300000002</v>
      </c>
      <c r="L2216" s="464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uholník (prichytenie ku stene)</v>
      </c>
      <c r="C2217" s="185">
        <f t="shared" si="69"/>
        <v>5.1660000000000004</v>
      </c>
      <c r="D2217" s="409" t="s">
        <v>8440</v>
      </c>
      <c r="E2217" s="409" t="s">
        <v>8441</v>
      </c>
      <c r="F2217" s="409" t="s">
        <v>8442</v>
      </c>
      <c r="G2217" s="409" t="s">
        <v>8443</v>
      </c>
      <c r="H2217" s="465">
        <v>134.66800000000001</v>
      </c>
      <c r="I2217" s="465">
        <v>5.1660000000000004</v>
      </c>
      <c r="J2217" s="465">
        <v>24.084240000000001</v>
      </c>
      <c r="K2217" s="465">
        <v>2057.5337199999999</v>
      </c>
      <c r="L2217" s="464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 záves ľavý (skrutky) H70 12 mm</v>
      </c>
      <c r="C2218" s="185">
        <f t="shared" si="69"/>
        <v>25.055099999999999</v>
      </c>
      <c r="D2218" s="409" t="s">
        <v>8444</v>
      </c>
      <c r="E2218" s="409" t="s">
        <v>8445</v>
      </c>
      <c r="F2218" s="409" t="s">
        <v>8446</v>
      </c>
      <c r="G2218" s="409" t="s">
        <v>8447</v>
      </c>
      <c r="H2218" s="465">
        <v>653.13980000000004</v>
      </c>
      <c r="I2218" s="465">
        <v>25.055099999999999</v>
      </c>
      <c r="J2218" s="465">
        <v>116.8086</v>
      </c>
      <c r="K2218" s="465">
        <v>9979.0385000000006</v>
      </c>
      <c r="L2218" s="464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 záves pravý (skrutky) H70 12 mm</v>
      </c>
      <c r="C2219" s="185">
        <f t="shared" si="69"/>
        <v>25.055099999999999</v>
      </c>
      <c r="D2219" s="409" t="s">
        <v>8448</v>
      </c>
      <c r="E2219" s="409" t="s">
        <v>8449</v>
      </c>
      <c r="F2219" s="409" t="s">
        <v>8450</v>
      </c>
      <c r="G2219" s="409" t="s">
        <v>8451</v>
      </c>
      <c r="H2219" s="465">
        <v>653.13980000000004</v>
      </c>
      <c r="I2219" s="465">
        <v>25.055099999999999</v>
      </c>
      <c r="J2219" s="465">
        <v>116.8086</v>
      </c>
      <c r="K2219" s="465">
        <v>9979.0385000000006</v>
      </c>
      <c r="L2219" s="464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Záves ľavý (vruty) SH70 12 mm</v>
      </c>
      <c r="C2220" s="185">
        <f t="shared" si="69"/>
        <v>25.055099999999999</v>
      </c>
      <c r="D2220" s="409" t="s">
        <v>8452</v>
      </c>
      <c r="E2220" s="409" t="s">
        <v>8453</v>
      </c>
      <c r="F2220" s="409" t="s">
        <v>8454</v>
      </c>
      <c r="G2220" s="409" t="s">
        <v>8455</v>
      </c>
      <c r="H2220" s="465">
        <v>653.13980000000004</v>
      </c>
      <c r="I2220" s="465">
        <v>25.055099999999999</v>
      </c>
      <c r="J2220" s="465">
        <v>116.8086</v>
      </c>
      <c r="K2220" s="465">
        <v>9979.0385000000006</v>
      </c>
      <c r="L2220" s="464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Záves pravý (vruty) SH70 12 mm</v>
      </c>
      <c r="C2221" s="185">
        <f t="shared" si="69"/>
        <v>25.055099999999999</v>
      </c>
      <c r="D2221" s="409" t="s">
        <v>8456</v>
      </c>
      <c r="E2221" s="409" t="s">
        <v>8457</v>
      </c>
      <c r="F2221" s="409" t="s">
        <v>8458</v>
      </c>
      <c r="G2221" s="409" t="s">
        <v>8459</v>
      </c>
      <c r="H2221" s="465">
        <v>653.13980000000004</v>
      </c>
      <c r="I2221" s="465">
        <v>25.055099999999999</v>
      </c>
      <c r="J2221" s="465">
        <v>116.8086</v>
      </c>
      <c r="K2221" s="465">
        <v>9979.0385000000006</v>
      </c>
      <c r="L2221" s="464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 záves ľavý odsadený (vruty) VSH70</v>
      </c>
      <c r="C2222" s="185">
        <f t="shared" si="69"/>
        <v>25.055099999999999</v>
      </c>
      <c r="D2222" s="409" t="s">
        <v>8460</v>
      </c>
      <c r="E2222" s="409" t="s">
        <v>8461</v>
      </c>
      <c r="F2222" s="409" t="s">
        <v>8462</v>
      </c>
      <c r="G2222" s="409" t="s">
        <v>8463</v>
      </c>
      <c r="H2222" s="465">
        <v>653.13980000000004</v>
      </c>
      <c r="I2222" s="465">
        <v>25.055099999999999</v>
      </c>
      <c r="J2222" s="465">
        <v>116.8086</v>
      </c>
      <c r="K2222" s="465">
        <v>9979.0385000000006</v>
      </c>
      <c r="L2222" s="464" t="s">
        <v>538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 záves pravý odsadený (vruty) VSH70</v>
      </c>
      <c r="C2223" s="185">
        <f t="shared" si="69"/>
        <v>25.055099999999999</v>
      </c>
      <c r="D2223" s="409" t="s">
        <v>8464</v>
      </c>
      <c r="E2223" s="409" t="s">
        <v>8465</v>
      </c>
      <c r="F2223" s="409" t="s">
        <v>8466</v>
      </c>
      <c r="G2223" s="409" t="s">
        <v>8467</v>
      </c>
      <c r="H2223" s="465">
        <v>653.13980000000004</v>
      </c>
      <c r="I2223" s="465">
        <v>25.055099999999999</v>
      </c>
      <c r="J2223" s="465">
        <v>116.8086</v>
      </c>
      <c r="K2223" s="465">
        <v>9979.0385000000006</v>
      </c>
      <c r="L2223" s="464" t="s">
        <v>538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9" t="e">
        <v>#N/A</v>
      </c>
      <c r="E2224" s="409" t="e">
        <v>#N/A</v>
      </c>
      <c r="F2224" s="409" t="e">
        <v>#N/A</v>
      </c>
      <c r="G2224" s="409" t="e">
        <v>#N/A</v>
      </c>
      <c r="H2224" s="465" t="e">
        <v>#N/A</v>
      </c>
      <c r="I2224" s="465" t="e">
        <v>#N/A</v>
      </c>
      <c r="J2224" s="465" t="e">
        <v>#N/A</v>
      </c>
      <c r="K2224" s="465" t="e">
        <v>#N/A</v>
      </c>
      <c r="L2224" s="464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Spojovacia trubka 32 mm - 3 m</v>
      </c>
      <c r="C2225" s="185">
        <f t="shared" si="69"/>
        <v>67.158000000000001</v>
      </c>
      <c r="D2225" s="409" t="s">
        <v>8468</v>
      </c>
      <c r="E2225" s="409" t="s">
        <v>8469</v>
      </c>
      <c r="F2225" s="409" t="s">
        <v>8470</v>
      </c>
      <c r="G2225" s="409" t="s">
        <v>8471</v>
      </c>
      <c r="H2225" s="465">
        <v>1750.684</v>
      </c>
      <c r="I2225" s="465">
        <v>67.158000000000001</v>
      </c>
      <c r="J2225" s="465">
        <v>313.09523999999999</v>
      </c>
      <c r="K2225" s="465">
        <v>26747.93823</v>
      </c>
      <c r="L2225" s="464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Prichytenie trubky na stenu</v>
      </c>
      <c r="C2226" s="185">
        <f t="shared" si="69"/>
        <v>5.9409000000000001</v>
      </c>
      <c r="D2226" s="409" t="s">
        <v>8472</v>
      </c>
      <c r="E2226" s="409" t="s">
        <v>8473</v>
      </c>
      <c r="F2226" s="409" t="s">
        <v>8474</v>
      </c>
      <c r="G2226" s="409" t="s">
        <v>8475</v>
      </c>
      <c r="H2226" s="465">
        <v>154.8682</v>
      </c>
      <c r="I2226" s="465">
        <v>5.9409000000000001</v>
      </c>
      <c r="J2226" s="465">
        <v>27.69689</v>
      </c>
      <c r="K2226" s="465">
        <v>2366.1637700000001</v>
      </c>
      <c r="L2226" s="464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Rohový spoj trubky 90 stupňov</v>
      </c>
      <c r="C2227" s="185">
        <f t="shared" si="69"/>
        <v>23.582789999999999</v>
      </c>
      <c r="D2227" s="409" t="s">
        <v>8476</v>
      </c>
      <c r="E2227" s="409" t="s">
        <v>8477</v>
      </c>
      <c r="F2227" s="409" t="s">
        <v>8478</v>
      </c>
      <c r="G2227" s="409" t="s">
        <v>8479</v>
      </c>
      <c r="H2227" s="465">
        <v>614.75941999999998</v>
      </c>
      <c r="I2227" s="465">
        <v>23.582789999999999</v>
      </c>
      <c r="J2227" s="465">
        <v>109.94459999999999</v>
      </c>
      <c r="K2227" s="465">
        <v>9392.6412700000001</v>
      </c>
      <c r="L2227" s="464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Spojnice trubky T</v>
      </c>
      <c r="C2228" s="185">
        <f t="shared" si="69"/>
        <v>23.582789999999999</v>
      </c>
      <c r="D2228" s="409" t="s">
        <v>8480</v>
      </c>
      <c r="E2228" s="409" t="s">
        <v>8481</v>
      </c>
      <c r="F2228" s="409" t="s">
        <v>8480</v>
      </c>
      <c r="G2228" s="409" t="s">
        <v>8482</v>
      </c>
      <c r="H2228" s="465">
        <v>626.07097999999996</v>
      </c>
      <c r="I2228" s="465">
        <v>23.582789999999999</v>
      </c>
      <c r="J2228" s="465">
        <v>93.32647</v>
      </c>
      <c r="K2228" s="465">
        <v>9392.6412700000001</v>
      </c>
      <c r="L2228" s="464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9" t="e">
        <v>#N/A</v>
      </c>
      <c r="E2229" s="409" t="e">
        <v>#N/A</v>
      </c>
      <c r="F2229" s="409" t="e">
        <v>#N/A</v>
      </c>
      <c r="G2229" s="409" t="e">
        <v>#N/A</v>
      </c>
      <c r="H2229" s="465" t="e">
        <v>#N/A</v>
      </c>
      <c r="I2229" s="465" t="e">
        <v>#N/A</v>
      </c>
      <c r="J2229" s="465" t="e">
        <v>#N/A</v>
      </c>
      <c r="K2229" s="465" t="e">
        <v>#N/A</v>
      </c>
      <c r="L2229" s="464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9" t="e">
        <v>#N/A</v>
      </c>
      <c r="E2230" s="409" t="e">
        <v>#N/A</v>
      </c>
      <c r="F2230" s="409" t="e">
        <v>#N/A</v>
      </c>
      <c r="G2230" s="409" t="e">
        <v>#N/A</v>
      </c>
      <c r="H2230" s="465" t="e">
        <v>#N/A</v>
      </c>
      <c r="I2230" s="465" t="e">
        <v>#N/A</v>
      </c>
      <c r="J2230" s="465" t="e">
        <v>#N/A</v>
      </c>
      <c r="K2230" s="465" t="e">
        <v>#N/A</v>
      </c>
      <c r="L2230" s="464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9" t="e">
        <v>#N/A</v>
      </c>
      <c r="E2231" s="409" t="e">
        <v>#N/A</v>
      </c>
      <c r="F2231" s="409" t="e">
        <v>#N/A</v>
      </c>
      <c r="G2231" s="409" t="e">
        <v>#N/A</v>
      </c>
      <c r="H2231" s="465" t="e">
        <v>#N/A</v>
      </c>
      <c r="I2231" s="465" t="e">
        <v>#N/A</v>
      </c>
      <c r="J2231" s="465" t="e">
        <v>#N/A</v>
      </c>
      <c r="K2231" s="465" t="e">
        <v>#N/A</v>
      </c>
      <c r="L2231" s="464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9" t="e">
        <v>#N/A</v>
      </c>
      <c r="E2232" s="409" t="e">
        <v>#N/A</v>
      </c>
      <c r="F2232" s="409" t="e">
        <v>#N/A</v>
      </c>
      <c r="G2232" s="409" t="e">
        <v>#N/A</v>
      </c>
      <c r="H2232" s="465" t="e">
        <v>#N/A</v>
      </c>
      <c r="I2232" s="465" t="e">
        <v>#N/A</v>
      </c>
      <c r="J2232" s="465" t="e">
        <v>#N/A</v>
      </c>
      <c r="K2232" s="465" t="e">
        <v>#N/A</v>
      </c>
      <c r="L2232" s="464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9" t="e">
        <v>#N/A</v>
      </c>
      <c r="E2233" s="409" t="e">
        <v>#N/A</v>
      </c>
      <c r="F2233" s="409" t="e">
        <v>#N/A</v>
      </c>
      <c r="G2233" s="409" t="e">
        <v>#N/A</v>
      </c>
      <c r="H2233" s="465" t="e">
        <v>#N/A</v>
      </c>
      <c r="I2233" s="465" t="e">
        <v>#N/A</v>
      </c>
      <c r="J2233" s="465" t="e">
        <v>#N/A</v>
      </c>
      <c r="K2233" s="465" t="e">
        <v>#N/A</v>
      </c>
      <c r="L2233" s="464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horná upevňovacia svorka 90° pre KD 12mm</v>
      </c>
      <c r="C2234" s="185">
        <f t="shared" si="69"/>
        <v>24.796800000000001</v>
      </c>
      <c r="D2234" s="409" t="s">
        <v>8483</v>
      </c>
      <c r="E2234" s="409" t="s">
        <v>8484</v>
      </c>
      <c r="F2234" s="409" t="s">
        <v>8485</v>
      </c>
      <c r="G2234" s="409" t="s">
        <v>8486</v>
      </c>
      <c r="H2234" s="465">
        <v>646.40639999999996</v>
      </c>
      <c r="I2234" s="465">
        <v>24.796800000000001</v>
      </c>
      <c r="J2234" s="465">
        <v>115.6044</v>
      </c>
      <c r="K2234" s="465">
        <v>9876.1617999999999</v>
      </c>
      <c r="L2234" s="464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S-S15-úch.profil+krycí pr. alu 2,7m</v>
      </c>
      <c r="C2235" s="185">
        <f t="shared" si="69"/>
        <v>0</v>
      </c>
      <c r="D2235" s="409" t="s">
        <v>8487</v>
      </c>
      <c r="E2235" s="409" t="s">
        <v>8488</v>
      </c>
      <c r="F2235" s="409" t="s">
        <v>8489</v>
      </c>
      <c r="G2235" s="409" t="s">
        <v>8490</v>
      </c>
      <c r="H2235" s="465">
        <v>0</v>
      </c>
      <c r="I2235" s="465">
        <v>0</v>
      </c>
      <c r="J2235" s="465">
        <v>0</v>
      </c>
      <c r="K2235" s="465">
        <v>0</v>
      </c>
      <c r="L2235" s="464" t="s">
        <v>540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S-sada kovania S55A</v>
      </c>
      <c r="C2236" s="185">
        <f t="shared" si="69"/>
        <v>12.19061</v>
      </c>
      <c r="D2236" s="409" t="s">
        <v>8491</v>
      </c>
      <c r="E2236" s="409" t="s">
        <v>8492</v>
      </c>
      <c r="F2236" s="409" t="s">
        <v>8493</v>
      </c>
      <c r="G2236" s="409" t="s">
        <v>8494</v>
      </c>
      <c r="H2236" s="465">
        <v>298.48</v>
      </c>
      <c r="I2236" s="465">
        <v>12.19061</v>
      </c>
      <c r="J2236" s="465">
        <v>55.203560000000003</v>
      </c>
      <c r="K2236" s="465">
        <v>5175.2580600000001</v>
      </c>
      <c r="L2236" s="464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IC-spojka na šikmé Comfort hliníkové dvere</v>
      </c>
      <c r="C2237" s="185">
        <f t="shared" si="69"/>
        <v>5.4726999999999997</v>
      </c>
      <c r="D2237" s="409" t="s">
        <v>8495</v>
      </c>
      <c r="E2237" s="409" t="s">
        <v>8496</v>
      </c>
      <c r="F2237" s="409" t="s">
        <v>8497</v>
      </c>
      <c r="G2237" s="409" t="s">
        <v>8498</v>
      </c>
      <c r="H2237" s="465">
        <v>140.61250000000001</v>
      </c>
      <c r="I2237" s="465">
        <v>5.4726999999999997</v>
      </c>
      <c r="J2237" s="465">
        <v>30.178920000000002</v>
      </c>
      <c r="K2237" s="465">
        <v>0</v>
      </c>
      <c r="L2237" s="464" t="s">
        <v>537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S-karáč dorazový nízky 12,8x4,6 mm šedý</v>
      </c>
      <c r="C2238" s="185">
        <f t="shared" si="69"/>
        <v>0.47572999999999999</v>
      </c>
      <c r="D2238" s="409" t="s">
        <v>8499</v>
      </c>
      <c r="E2238" s="409" t="s">
        <v>8500</v>
      </c>
      <c r="F2238" s="409" t="s">
        <v>8501</v>
      </c>
      <c r="G2238" s="409" t="s">
        <v>8502</v>
      </c>
      <c r="H2238" s="465">
        <v>11.648</v>
      </c>
      <c r="I2238" s="465">
        <v>0.47572999999999999</v>
      </c>
      <c r="J2238" s="465">
        <v>2.15428</v>
      </c>
      <c r="K2238" s="465">
        <v>201.96127999999999</v>
      </c>
      <c r="L2238" s="464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IC-úchytová lišta Portland 10mm 2,7m strieborná</v>
      </c>
      <c r="C2239" s="185">
        <f t="shared" si="69"/>
        <v>12.4983</v>
      </c>
      <c r="D2239" s="409" t="s">
        <v>8503</v>
      </c>
      <c r="E2239" s="409" t="s">
        <v>8504</v>
      </c>
      <c r="F2239" s="409" t="s">
        <v>8505</v>
      </c>
      <c r="G2239" s="409" t="s">
        <v>8506</v>
      </c>
      <c r="H2239" s="465">
        <v>321.125</v>
      </c>
      <c r="I2239" s="465">
        <v>12.4983</v>
      </c>
      <c r="J2239" s="465">
        <v>68.921360000000007</v>
      </c>
      <c r="K2239" s="465">
        <v>0</v>
      </c>
      <c r="L2239" s="464" t="s">
        <v>537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9" t="e">
        <v>#N/A</v>
      </c>
      <c r="E2240" s="409" t="e">
        <v>#N/A</v>
      </c>
      <c r="F2240" s="409" t="e">
        <v>#N/A</v>
      </c>
      <c r="G2240" s="409" t="e">
        <v>#N/A</v>
      </c>
      <c r="H2240" s="465" t="e">
        <v>#N/A</v>
      </c>
      <c r="I2240" s="465" t="e">
        <v>#N/A</v>
      </c>
      <c r="J2240" s="465" t="e">
        <v>#N/A</v>
      </c>
      <c r="K2240" s="465" t="e">
        <v>#N/A</v>
      </c>
      <c r="L2240" s="464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S-obojstranný tlmič Slidix Centro T25 S55/S60/S65</v>
      </c>
      <c r="C2241" s="185">
        <f t="shared" si="69"/>
        <v>68.624229999999997</v>
      </c>
      <c r="D2241" s="409" t="s">
        <v>8507</v>
      </c>
      <c r="E2241" s="409" t="s">
        <v>8508</v>
      </c>
      <c r="F2241" s="409" t="s">
        <v>8509</v>
      </c>
      <c r="G2241" s="409" t="s">
        <v>8510</v>
      </c>
      <c r="H2241" s="465">
        <v>1680.2239999999999</v>
      </c>
      <c r="I2241" s="465">
        <v>68.624229999999997</v>
      </c>
      <c r="J2241" s="465">
        <v>310.75572</v>
      </c>
      <c r="K2241" s="465">
        <v>29132.916130000001</v>
      </c>
      <c r="L2241" s="464" t="s">
        <v>537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9" t="e">
        <v>#N/A</v>
      </c>
      <c r="E2242" s="409" t="e">
        <v>#N/A</v>
      </c>
      <c r="F2242" s="409" t="e">
        <v>#N/A</v>
      </c>
      <c r="G2242" s="409" t="e">
        <v>#N/A</v>
      </c>
      <c r="H2242" s="465" t="e">
        <v>#N/A</v>
      </c>
      <c r="I2242" s="465" t="e">
        <v>#N/A</v>
      </c>
      <c r="J2242" s="465" t="e">
        <v>#N/A</v>
      </c>
      <c r="K2242" s="465" t="e">
        <v>#N/A</v>
      </c>
      <c r="L2242" s="464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9" t="e">
        <v>#N/A</v>
      </c>
      <c r="E2243" s="409" t="e">
        <v>#N/A</v>
      </c>
      <c r="F2243" s="409" t="e">
        <v>#N/A</v>
      </c>
      <c r="G2243" s="409" t="e">
        <v>#N/A</v>
      </c>
      <c r="H2243" s="465" t="e">
        <v>#N/A</v>
      </c>
      <c r="I2243" s="465" t="e">
        <v>#N/A</v>
      </c>
      <c r="J2243" s="465" t="e">
        <v>#N/A</v>
      </c>
      <c r="K2243" s="465" t="e">
        <v>#N/A</v>
      </c>
      <c r="L2243" s="464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9" t="e">
        <v>#N/A</v>
      </c>
      <c r="E2244" s="409" t="e">
        <v>#N/A</v>
      </c>
      <c r="F2244" s="409" t="e">
        <v>#N/A</v>
      </c>
      <c r="G2244" s="409" t="e">
        <v>#N/A</v>
      </c>
      <c r="H2244" s="465" t="e">
        <v>#N/A</v>
      </c>
      <c r="I2244" s="465" t="e">
        <v>#N/A</v>
      </c>
      <c r="J2244" s="465" t="e">
        <v>#N/A</v>
      </c>
      <c r="K2244" s="465" t="e">
        <v>#N/A</v>
      </c>
      <c r="L2244" s="464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9" t="e">
        <v>#N/A</v>
      </c>
      <c r="E2245" s="409" t="e">
        <v>#N/A</v>
      </c>
      <c r="F2245" s="409" t="e">
        <v>#N/A</v>
      </c>
      <c r="G2245" s="409" t="e">
        <v>#N/A</v>
      </c>
      <c r="H2245" s="465" t="e">
        <v>#N/A</v>
      </c>
      <c r="I2245" s="465" t="e">
        <v>#N/A</v>
      </c>
      <c r="J2245" s="465" t="e">
        <v>#N/A</v>
      </c>
      <c r="K2245" s="465" t="e">
        <v>#N/A</v>
      </c>
      <c r="L2245" s="464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9" t="e">
        <v>#N/A</v>
      </c>
      <c r="E2246" s="409" t="e">
        <v>#N/A</v>
      </c>
      <c r="F2246" s="409" t="e">
        <v>#N/A</v>
      </c>
      <c r="G2246" s="409" t="e">
        <v>#N/A</v>
      </c>
      <c r="H2246" s="465" t="e">
        <v>#N/A</v>
      </c>
      <c r="I2246" s="465" t="e">
        <v>#N/A</v>
      </c>
      <c r="J2246" s="465" t="e">
        <v>#N/A</v>
      </c>
      <c r="K2246" s="465" t="e">
        <v>#N/A</v>
      </c>
      <c r="L2246" s="464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IC-spodné vedenie  3m arktické striebro</v>
      </c>
      <c r="C2247" s="185">
        <f t="shared" si="71"/>
        <v>8.8203300000000002</v>
      </c>
      <c r="D2247" s="409" t="s">
        <v>8511</v>
      </c>
      <c r="E2247" s="409" t="s">
        <v>8512</v>
      </c>
      <c r="F2247" s="409" t="s">
        <v>8513</v>
      </c>
      <c r="G2247" s="409" t="s">
        <v>8514</v>
      </c>
      <c r="H2247" s="465">
        <v>226.625</v>
      </c>
      <c r="I2247" s="465">
        <v>8.8203300000000002</v>
      </c>
      <c r="J2247" s="465">
        <v>48.639319999999998</v>
      </c>
      <c r="K2247" s="465">
        <v>0</v>
      </c>
      <c r="L2247" s="464" t="s">
        <v>537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IC-vodiaca lišta 10mm, 2,4m elox str.</v>
      </c>
      <c r="C2248" s="185">
        <f t="shared" si="71"/>
        <v>4.1764200000000002</v>
      </c>
      <c r="D2248" s="409" t="s">
        <v>8515</v>
      </c>
      <c r="E2248" s="409" t="s">
        <v>8516</v>
      </c>
      <c r="F2248" s="409" t="s">
        <v>8517</v>
      </c>
      <c r="G2248" s="409" t="s">
        <v>8518</v>
      </c>
      <c r="H2248" s="465">
        <v>93.496600000000001</v>
      </c>
      <c r="I2248" s="465">
        <v>4.1764200000000002</v>
      </c>
      <c r="J2248" s="465">
        <v>15.77492</v>
      </c>
      <c r="K2248" s="465">
        <v>0</v>
      </c>
      <c r="L2248" s="464" t="s">
        <v>537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spodný profil 3m elox strieborný</v>
      </c>
      <c r="C2249" s="185">
        <f t="shared" si="71"/>
        <v>0</v>
      </c>
      <c r="D2249" s="409" t="s">
        <v>8519</v>
      </c>
      <c r="E2249" s="409" t="s">
        <v>8520</v>
      </c>
      <c r="F2249" s="409" t="s">
        <v>8521</v>
      </c>
      <c r="G2249" s="409" t="s">
        <v>8522</v>
      </c>
      <c r="H2249" s="465">
        <v>0</v>
      </c>
      <c r="I2249" s="465">
        <v>0</v>
      </c>
      <c r="J2249" s="465">
        <v>0</v>
      </c>
      <c r="K2249" s="465">
        <v>0</v>
      </c>
      <c r="L2249" s="464" t="s">
        <v>540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9" t="e">
        <v>#N/A</v>
      </c>
      <c r="E2250" s="409" t="e">
        <v>#N/A</v>
      </c>
      <c r="F2250" s="409" t="e">
        <v>#N/A</v>
      </c>
      <c r="G2250" s="409" t="e">
        <v>#N/A</v>
      </c>
      <c r="H2250" s="465" t="e">
        <v>#N/A</v>
      </c>
      <c r="I2250" s="465" t="e">
        <v>#N/A</v>
      </c>
      <c r="J2250" s="465" t="e">
        <v>#N/A</v>
      </c>
      <c r="K2250" s="465" t="e">
        <v>#N/A</v>
      </c>
      <c r="L2250" s="464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tlmič</v>
      </c>
      <c r="C2251" s="185">
        <f t="shared" si="71"/>
        <v>22.938279999999999</v>
      </c>
      <c r="D2251" s="409" t="s">
        <v>8523</v>
      </c>
      <c r="E2251" s="409" t="s">
        <v>8524</v>
      </c>
      <c r="F2251" s="409" t="s">
        <v>8525</v>
      </c>
      <c r="G2251" s="409" t="s">
        <v>8526</v>
      </c>
      <c r="H2251" s="465">
        <v>561.63016000000005</v>
      </c>
      <c r="I2251" s="465">
        <v>22.938279999999999</v>
      </c>
      <c r="J2251" s="465">
        <v>103.87293</v>
      </c>
      <c r="K2251" s="465">
        <v>9737.9422799999993</v>
      </c>
      <c r="L2251" s="464" t="s">
        <v>537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9" t="e">
        <v>#N/A</v>
      </c>
      <c r="E2252" s="409" t="e">
        <v>#N/A</v>
      </c>
      <c r="F2252" s="409" t="e">
        <v>#N/A</v>
      </c>
      <c r="G2252" s="409" t="e">
        <v>#N/A</v>
      </c>
      <c r="H2252" s="465" t="e">
        <v>#N/A</v>
      </c>
      <c r="I2252" s="465" t="e">
        <v>#N/A</v>
      </c>
      <c r="J2252" s="465" t="e">
        <v>#N/A</v>
      </c>
      <c r="K2252" s="465" t="e">
        <v>#N/A</v>
      </c>
      <c r="L2252" s="464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sada Apollo 2/756</v>
      </c>
      <c r="C2253" s="185">
        <f t="shared" si="71"/>
        <v>31.070979999999999</v>
      </c>
      <c r="D2253" s="409" t="s">
        <v>1695</v>
      </c>
      <c r="E2253" s="409" t="s">
        <v>2127</v>
      </c>
      <c r="F2253" s="409" t="s">
        <v>1695</v>
      </c>
      <c r="G2253" s="409" t="s">
        <v>2603</v>
      </c>
      <c r="H2253" s="465">
        <v>823.74495000000002</v>
      </c>
      <c r="I2253" s="465">
        <v>31.070979999999999</v>
      </c>
      <c r="J2253" s="465">
        <v>106.0055</v>
      </c>
      <c r="K2253" s="465">
        <v>12032.7929</v>
      </c>
      <c r="L2253" s="464" t="s">
        <v>539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sada kovania ZSE-10 Plus</v>
      </c>
      <c r="C2254" s="185">
        <f t="shared" si="71"/>
        <v>66.747969999999995</v>
      </c>
      <c r="D2254" s="409" t="s">
        <v>1696</v>
      </c>
      <c r="E2254" s="409" t="s">
        <v>2128</v>
      </c>
      <c r="F2254" s="409" t="s">
        <v>6126</v>
      </c>
      <c r="G2254" s="409" t="s">
        <v>2604</v>
      </c>
      <c r="H2254" s="465">
        <v>1856.4135799999999</v>
      </c>
      <c r="I2254" s="465">
        <v>66.747969999999995</v>
      </c>
      <c r="J2254" s="465">
        <v>232.9272</v>
      </c>
      <c r="K2254" s="465">
        <v>26603.281200000001</v>
      </c>
      <c r="L2254" s="464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sada kovania ZSE-18</v>
      </c>
      <c r="C2255" s="185">
        <f t="shared" si="71"/>
        <v>44.862960000000001</v>
      </c>
      <c r="D2255" s="409" t="s">
        <v>1697</v>
      </c>
      <c r="E2255" s="409" t="s">
        <v>2129</v>
      </c>
      <c r="F2255" s="409" t="s">
        <v>6127</v>
      </c>
      <c r="G2255" s="409" t="s">
        <v>2605</v>
      </c>
      <c r="H2255" s="465">
        <v>1247.7415100000001</v>
      </c>
      <c r="I2255" s="465">
        <v>44.862960000000001</v>
      </c>
      <c r="J2255" s="465">
        <v>156.62100000000001</v>
      </c>
      <c r="K2255" s="465">
        <v>17880.723620000001</v>
      </c>
      <c r="L2255" s="464" t="s">
        <v>539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sada kovania ZSE-18 Plus</v>
      </c>
      <c r="C2256" s="185">
        <f t="shared" si="71"/>
        <v>65.759110000000007</v>
      </c>
      <c r="D2256" s="409" t="s">
        <v>1698</v>
      </c>
      <c r="E2256" s="409" t="s">
        <v>2130</v>
      </c>
      <c r="F2256" s="409" t="s">
        <v>6128</v>
      </c>
      <c r="G2256" s="409" t="s">
        <v>2606</v>
      </c>
      <c r="H2256" s="465">
        <v>1828.9111499999999</v>
      </c>
      <c r="I2256" s="465">
        <v>65.759110000000007</v>
      </c>
      <c r="J2256" s="465">
        <v>229.43879999999999</v>
      </c>
      <c r="K2256" s="465">
        <v>26209.158439999999</v>
      </c>
      <c r="L2256" s="464" t="s">
        <v>539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sada kovania ZSE-18 U Plus</v>
      </c>
      <c r="C2257" s="185">
        <f t="shared" si="71"/>
        <v>66.01934</v>
      </c>
      <c r="D2257" s="409" t="s">
        <v>1699</v>
      </c>
      <c r="E2257" s="409" t="s">
        <v>2131</v>
      </c>
      <c r="F2257" s="409" t="s">
        <v>6129</v>
      </c>
      <c r="G2257" s="409" t="s">
        <v>2607</v>
      </c>
      <c r="H2257" s="465">
        <v>1836.1486299999999</v>
      </c>
      <c r="I2257" s="465">
        <v>66.01934</v>
      </c>
      <c r="J2257" s="465">
        <v>230.29560000000001</v>
      </c>
      <c r="K2257" s="465">
        <v>26312.874950000001</v>
      </c>
      <c r="L2257" s="464" t="s">
        <v>539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IC-horné vedenie  jednoduché 2m strieborné</v>
      </c>
      <c r="C2258" s="185">
        <f t="shared" si="71"/>
        <v>9.3311700000000002</v>
      </c>
      <c r="D2258" s="409" t="s">
        <v>8527</v>
      </c>
      <c r="E2258" s="409" t="s">
        <v>8528</v>
      </c>
      <c r="F2258" s="409" t="s">
        <v>8529</v>
      </c>
      <c r="G2258" s="409" t="s">
        <v>8530</v>
      </c>
      <c r="H2258" s="465">
        <v>239.75</v>
      </c>
      <c r="I2258" s="465">
        <v>9.3311700000000002</v>
      </c>
      <c r="J2258" s="465">
        <v>51.45628</v>
      </c>
      <c r="K2258" s="465">
        <v>0</v>
      </c>
      <c r="L2258" s="464" t="s">
        <v>537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IC-horné vedenie  jednoduché 3m strieborné</v>
      </c>
      <c r="C2259" s="185">
        <f t="shared" si="71"/>
        <v>13.75836</v>
      </c>
      <c r="D2259" s="409" t="s">
        <v>8531</v>
      </c>
      <c r="E2259" s="409" t="s">
        <v>8532</v>
      </c>
      <c r="F2259" s="409" t="s">
        <v>8533</v>
      </c>
      <c r="G2259" s="409" t="s">
        <v>8534</v>
      </c>
      <c r="H2259" s="465">
        <v>353.5</v>
      </c>
      <c r="I2259" s="465">
        <v>13.75836</v>
      </c>
      <c r="J2259" s="465">
        <v>75.869839999999996</v>
      </c>
      <c r="K2259" s="465">
        <v>0</v>
      </c>
      <c r="L2259" s="464" t="s">
        <v>537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IC-spodné vedenie  jednoduché 2m strieborné</v>
      </c>
      <c r="C2260" s="185">
        <f t="shared" si="71"/>
        <v>4.2228599999999998</v>
      </c>
      <c r="D2260" s="409" t="s">
        <v>8535</v>
      </c>
      <c r="E2260" s="409" t="s">
        <v>8536</v>
      </c>
      <c r="F2260" s="409" t="s">
        <v>8537</v>
      </c>
      <c r="G2260" s="409" t="s">
        <v>8538</v>
      </c>
      <c r="H2260" s="465">
        <v>108.5</v>
      </c>
      <c r="I2260" s="465">
        <v>4.2228599999999998</v>
      </c>
      <c r="J2260" s="465">
        <v>23.28678</v>
      </c>
      <c r="K2260" s="465">
        <v>0</v>
      </c>
      <c r="L2260" s="464" t="s">
        <v>537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IC-spodné vedenie  jednoduché 3m strieborné</v>
      </c>
      <c r="C2261" s="185">
        <f t="shared" si="71"/>
        <v>6.1980700000000004</v>
      </c>
      <c r="D2261" s="409" t="s">
        <v>8539</v>
      </c>
      <c r="E2261" s="409" t="s">
        <v>8540</v>
      </c>
      <c r="F2261" s="409" t="s">
        <v>8541</v>
      </c>
      <c r="G2261" s="409" t="s">
        <v>8542</v>
      </c>
      <c r="H2261" s="465">
        <v>159.25</v>
      </c>
      <c r="I2261" s="465">
        <v>6.1980700000000004</v>
      </c>
      <c r="J2261" s="465">
        <v>34.178980000000003</v>
      </c>
      <c r="K2261" s="465">
        <v>0</v>
      </c>
      <c r="L2261" s="464" t="s">
        <v>537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IC-spodné vedenie  jednoduché 5m strieborné</v>
      </c>
      <c r="C2262" s="185">
        <f t="shared" si="71"/>
        <v>9.3992699999999996</v>
      </c>
      <c r="D2262" s="409" t="s">
        <v>8543</v>
      </c>
      <c r="E2262" s="409" t="s">
        <v>8544</v>
      </c>
      <c r="F2262" s="409" t="s">
        <v>8545</v>
      </c>
      <c r="G2262" s="409" t="s">
        <v>8546</v>
      </c>
      <c r="H2262" s="465">
        <v>241.5</v>
      </c>
      <c r="I2262" s="465">
        <v>9.3992699999999996</v>
      </c>
      <c r="J2262" s="465">
        <v>51.831859999999999</v>
      </c>
      <c r="K2262" s="465">
        <v>0</v>
      </c>
      <c r="L2262" s="464" t="s">
        <v>537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9" t="e">
        <v>#N/A</v>
      </c>
      <c r="E2263" s="409" t="e">
        <v>#N/A</v>
      </c>
      <c r="F2263" s="409" t="e">
        <v>#N/A</v>
      </c>
      <c r="G2263" s="409" t="e">
        <v>#N/A</v>
      </c>
      <c r="H2263" s="465" t="e">
        <v>#N/A</v>
      </c>
      <c r="I2263" s="465" t="e">
        <v>#N/A</v>
      </c>
      <c r="J2263" s="465" t="e">
        <v>#N/A</v>
      </c>
      <c r="K2263" s="465" t="e">
        <v>#N/A</v>
      </c>
      <c r="L2263" s="464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SALU06 N-dolný vodiaci profil 3m str.</v>
      </c>
      <c r="C2264" s="185">
        <f t="shared" si="71"/>
        <v>17.661519999999999</v>
      </c>
      <c r="D2264" s="409" t="s">
        <v>8547</v>
      </c>
      <c r="E2264" s="409" t="s">
        <v>8548</v>
      </c>
      <c r="F2264" s="409" t="s">
        <v>8549</v>
      </c>
      <c r="G2264" s="409" t="s">
        <v>8550</v>
      </c>
      <c r="H2264" s="465">
        <v>432.43200000000002</v>
      </c>
      <c r="I2264" s="465">
        <v>17.661519999999999</v>
      </c>
      <c r="J2264" s="465">
        <v>79.977869999999996</v>
      </c>
      <c r="K2264" s="465">
        <v>7497.8129099999996</v>
      </c>
      <c r="L2264" s="464" t="s">
        <v>537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SALU-S06N KRYCÍ PROFIL 3M ALU</v>
      </c>
      <c r="C2265" s="185">
        <f t="shared" si="71"/>
        <v>6.4223699999999999</v>
      </c>
      <c r="D2265" s="409" t="s">
        <v>8551</v>
      </c>
      <c r="E2265" s="409" t="s">
        <v>8552</v>
      </c>
      <c r="F2265" s="409" t="s">
        <v>8553</v>
      </c>
      <c r="G2265" s="409" t="s">
        <v>8554</v>
      </c>
      <c r="H2265" s="465">
        <v>157.24799999999999</v>
      </c>
      <c r="I2265" s="465">
        <v>6.4223699999999999</v>
      </c>
      <c r="J2265" s="465">
        <v>29.08287</v>
      </c>
      <c r="K2265" s="465">
        <v>2726.47741</v>
      </c>
      <c r="L2265" s="464" t="s">
        <v>537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9" t="e">
        <v>#N/A</v>
      </c>
      <c r="E2266" s="409" t="e">
        <v>#N/A</v>
      </c>
      <c r="F2266" s="409" t="e">
        <v>#N/A</v>
      </c>
      <c r="G2266" s="409" t="e">
        <v>#N/A</v>
      </c>
      <c r="H2266" s="465" t="e">
        <v>#N/A</v>
      </c>
      <c r="I2266" s="465" t="e">
        <v>#N/A</v>
      </c>
      <c r="J2266" s="465" t="e">
        <v>#N/A</v>
      </c>
      <c r="K2266" s="465" t="e">
        <v>#N/A</v>
      </c>
      <c r="L2266" s="464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9" t="e">
        <v>#N/A</v>
      </c>
      <c r="E2267" s="409" t="e">
        <v>#N/A</v>
      </c>
      <c r="F2267" s="409" t="e">
        <v>#N/A</v>
      </c>
      <c r="G2267" s="409" t="e">
        <v>#N/A</v>
      </c>
      <c r="H2267" s="465" t="e">
        <v>#N/A</v>
      </c>
      <c r="I2267" s="465" t="e">
        <v>#N/A</v>
      </c>
      <c r="J2267" s="465" t="e">
        <v>#N/A</v>
      </c>
      <c r="K2267" s="465" t="e">
        <v>#N/A</v>
      </c>
      <c r="L2267" s="464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9" t="e">
        <v>#N/A</v>
      </c>
      <c r="E2268" s="409" t="e">
        <v>#N/A</v>
      </c>
      <c r="F2268" s="409" t="e">
        <v>#N/A</v>
      </c>
      <c r="G2268" s="409" t="e">
        <v>#N/A</v>
      </c>
      <c r="H2268" s="465" t="e">
        <v>#N/A</v>
      </c>
      <c r="I2268" s="465" t="e">
        <v>#N/A</v>
      </c>
      <c r="J2268" s="465" t="e">
        <v>#N/A</v>
      </c>
      <c r="K2268" s="465" t="e">
        <v>#N/A</v>
      </c>
      <c r="L2268" s="464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str">
        <f t="shared" si="70"/>
        <v>SEVROLL Alfa II úchytová lišta 100m oliva new (vzorka)</v>
      </c>
      <c r="C2269" s="185" t="e">
        <f t="shared" si="71"/>
        <v>#N/A</v>
      </c>
      <c r="D2269" s="409" t="s">
        <v>1700</v>
      </c>
      <c r="E2269" s="409" t="s">
        <v>2132</v>
      </c>
      <c r="F2269" s="409" t="s">
        <v>6130</v>
      </c>
      <c r="G2269" s="409" t="s">
        <v>2608</v>
      </c>
      <c r="H2269" s="465" t="e">
        <v>#N/A</v>
      </c>
      <c r="I2269" s="465" t="e">
        <v>#N/A</v>
      </c>
      <c r="J2269" s="465" t="e">
        <v>#N/A</v>
      </c>
      <c r="K2269" s="465" t="e">
        <v>#N/A</v>
      </c>
      <c r="L2269" s="464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horná jednokoľaj 5m oliva</v>
      </c>
      <c r="C2270" s="185">
        <f t="shared" si="71"/>
        <v>31.12753</v>
      </c>
      <c r="D2270" s="409" t="s">
        <v>8555</v>
      </c>
      <c r="E2270" s="409" t="s">
        <v>8556</v>
      </c>
      <c r="F2270" s="409" t="s">
        <v>8557</v>
      </c>
      <c r="G2270" s="409" t="s">
        <v>8558</v>
      </c>
      <c r="H2270" s="465">
        <v>873.06348000000003</v>
      </c>
      <c r="I2270" s="465">
        <v>31.12753</v>
      </c>
      <c r="J2270" s="465">
        <v>163.86473000000001</v>
      </c>
      <c r="K2270" s="465">
        <v>17898.1715</v>
      </c>
      <c r="L2270" s="464" t="s">
        <v>540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 S08 STRIEBORNÝ 2,7 M</v>
      </c>
      <c r="C2271" s="185">
        <f t="shared" si="71"/>
        <v>15.818059999999999</v>
      </c>
      <c r="D2271" s="409" t="s">
        <v>8559</v>
      </c>
      <c r="E2271" s="409" t="s">
        <v>8560</v>
      </c>
      <c r="F2271" s="409" t="s">
        <v>8561</v>
      </c>
      <c r="G2271" s="409" t="s">
        <v>8562</v>
      </c>
      <c r="H2271" s="465">
        <v>387.29599999999999</v>
      </c>
      <c r="I2271" s="465">
        <v>15.818059999999999</v>
      </c>
      <c r="J2271" s="465">
        <v>71.629990000000006</v>
      </c>
      <c r="K2271" s="465">
        <v>6414.2082099999998</v>
      </c>
      <c r="L2271" s="464" t="s">
        <v>540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vod.profil alu elox 2,5m</v>
      </c>
      <c r="C2272" s="185">
        <f t="shared" si="71"/>
        <v>7.7306299999999997</v>
      </c>
      <c r="D2272" s="409" t="s">
        <v>8563</v>
      </c>
      <c r="E2272" s="409" t="s">
        <v>8564</v>
      </c>
      <c r="F2272" s="409" t="s">
        <v>7561</v>
      </c>
      <c r="G2272" s="409" t="s">
        <v>8565</v>
      </c>
      <c r="H2272" s="465">
        <v>189.28</v>
      </c>
      <c r="I2272" s="465">
        <v>7.7306299999999997</v>
      </c>
      <c r="J2272" s="465">
        <v>35.00714</v>
      </c>
      <c r="K2272" s="465">
        <v>3281.8709600000002</v>
      </c>
      <c r="L2272" s="464" t="s">
        <v>537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vodiaci profil alu elox 3m</v>
      </c>
      <c r="C2273" s="185">
        <f t="shared" si="71"/>
        <v>0</v>
      </c>
      <c r="D2273" s="409" t="s">
        <v>7513</v>
      </c>
      <c r="E2273" s="409" t="s">
        <v>8566</v>
      </c>
      <c r="F2273" s="409" t="s">
        <v>7515</v>
      </c>
      <c r="G2273" s="409" t="s">
        <v>8567</v>
      </c>
      <c r="H2273" s="465">
        <v>0</v>
      </c>
      <c r="I2273" s="465">
        <v>0</v>
      </c>
      <c r="J2273" s="465">
        <v>0</v>
      </c>
      <c r="K2273" s="465">
        <v>0</v>
      </c>
      <c r="L2273" s="464" t="s">
        <v>537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PROFIL S30 DVOJTÝ ELOX. 4,5 M</v>
      </c>
      <c r="C2274" s="185">
        <f t="shared" si="71"/>
        <v>0</v>
      </c>
      <c r="D2274" s="409" t="s">
        <v>8568</v>
      </c>
      <c r="E2274" s="409" t="s">
        <v>8569</v>
      </c>
      <c r="F2274" s="409" t="s">
        <v>8570</v>
      </c>
      <c r="G2274" s="409" t="s">
        <v>8571</v>
      </c>
      <c r="H2274" s="465">
        <v>0</v>
      </c>
      <c r="I2274" s="465">
        <v>0</v>
      </c>
      <c r="J2274" s="465">
        <v>0</v>
      </c>
      <c r="K2274" s="465">
        <v>0</v>
      </c>
      <c r="L2274" s="464" t="s">
        <v>540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S-kartáč protiprachový vysoký 6,7x12mm sivý</v>
      </c>
      <c r="C2275" s="185">
        <f t="shared" si="71"/>
        <v>0.77305999999999997</v>
      </c>
      <c r="D2275" s="409" t="s">
        <v>8572</v>
      </c>
      <c r="E2275" s="409" t="s">
        <v>8573</v>
      </c>
      <c r="F2275" s="409" t="s">
        <v>8574</v>
      </c>
      <c r="G2275" s="409" t="s">
        <v>8575</v>
      </c>
      <c r="H2275" s="465">
        <v>18.928000000000001</v>
      </c>
      <c r="I2275" s="465">
        <v>0.77305999999999997</v>
      </c>
      <c r="J2275" s="465">
        <v>3.5007199999999998</v>
      </c>
      <c r="K2275" s="465">
        <v>332.31434999999999</v>
      </c>
      <c r="L2275" s="464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tlmič</v>
      </c>
      <c r="C2276" s="185">
        <f t="shared" si="71"/>
        <v>22.95402</v>
      </c>
      <c r="D2276" s="409" t="s">
        <v>8576</v>
      </c>
      <c r="E2276" s="409" t="s">
        <v>8577</v>
      </c>
      <c r="F2276" s="409" t="s">
        <v>8578</v>
      </c>
      <c r="G2276" s="409" t="s">
        <v>8579</v>
      </c>
      <c r="H2276" s="465">
        <v>562.01599999999996</v>
      </c>
      <c r="I2276" s="465">
        <v>22.95402</v>
      </c>
      <c r="J2276" s="465">
        <v>103.94428000000001</v>
      </c>
      <c r="K2276" s="465">
        <v>9744.6322700000001</v>
      </c>
      <c r="L2276" s="464" t="s">
        <v>537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9" t="e">
        <v>#N/A</v>
      </c>
      <c r="E2277" s="409" t="e">
        <v>#N/A</v>
      </c>
      <c r="F2277" s="409" t="e">
        <v>#N/A</v>
      </c>
      <c r="G2277" s="409" t="e">
        <v>#N/A</v>
      </c>
      <c r="H2277" s="465" t="e">
        <v>#N/A</v>
      </c>
      <c r="I2277" s="465" t="e">
        <v>#N/A</v>
      </c>
      <c r="J2277" s="465" t="e">
        <v>#N/A</v>
      </c>
      <c r="K2277" s="465" t="e">
        <v>#N/A</v>
      </c>
      <c r="L2277" s="464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9" t="e">
        <v>#N/A</v>
      </c>
      <c r="E2278" s="409" t="e">
        <v>#N/A</v>
      </c>
      <c r="F2278" s="409" t="e">
        <v>#N/A</v>
      </c>
      <c r="G2278" s="409" t="e">
        <v>#N/A</v>
      </c>
      <c r="H2278" s="465" t="e">
        <v>#N/A</v>
      </c>
      <c r="I2278" s="465" t="e">
        <v>#N/A</v>
      </c>
      <c r="J2278" s="465" t="e">
        <v>#N/A</v>
      </c>
      <c r="K2278" s="465" t="e">
        <v>#N/A</v>
      </c>
      <c r="L2278" s="464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9" t="e">
        <v>#N/A</v>
      </c>
      <c r="E2279" s="409" t="e">
        <v>#N/A</v>
      </c>
      <c r="F2279" s="409" t="e">
        <v>#N/A</v>
      </c>
      <c r="G2279" s="409" t="e">
        <v>#N/A</v>
      </c>
      <c r="H2279" s="465" t="e">
        <v>#N/A</v>
      </c>
      <c r="I2279" s="465" t="e">
        <v>#N/A</v>
      </c>
      <c r="J2279" s="465" t="e">
        <v>#N/A</v>
      </c>
      <c r="K2279" s="465" t="e">
        <v>#N/A</v>
      </c>
      <c r="L2279" s="464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9" t="e">
        <v>#N/A</v>
      </c>
      <c r="E2280" s="409" t="e">
        <v>#N/A</v>
      </c>
      <c r="F2280" s="409" t="e">
        <v>#N/A</v>
      </c>
      <c r="G2280" s="409" t="e">
        <v>#N/A</v>
      </c>
      <c r="H2280" s="465" t="e">
        <v>#N/A</v>
      </c>
      <c r="I2280" s="465" t="e">
        <v>#N/A</v>
      </c>
      <c r="J2280" s="465" t="e">
        <v>#N/A</v>
      </c>
      <c r="K2280" s="465" t="e">
        <v>#N/A</v>
      </c>
      <c r="L2280" s="464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9" t="e">
        <v>#N/A</v>
      </c>
      <c r="E2281" s="409" t="e">
        <v>#N/A</v>
      </c>
      <c r="F2281" s="409" t="e">
        <v>#N/A</v>
      </c>
      <c r="G2281" s="409" t="e">
        <v>#N/A</v>
      </c>
      <c r="H2281" s="465" t="e">
        <v>#N/A</v>
      </c>
      <c r="I2281" s="465" t="e">
        <v>#N/A</v>
      </c>
      <c r="J2281" s="465" t="e">
        <v>#N/A</v>
      </c>
      <c r="K2281" s="465" t="e">
        <v>#N/A</v>
      </c>
      <c r="L2281" s="464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9" t="e">
        <v>#N/A</v>
      </c>
      <c r="E2282" s="409" t="e">
        <v>#N/A</v>
      </c>
      <c r="F2282" s="409" t="e">
        <v>#N/A</v>
      </c>
      <c r="G2282" s="409" t="e">
        <v>#N/A</v>
      </c>
      <c r="H2282" s="465" t="e">
        <v>#N/A</v>
      </c>
      <c r="I2282" s="465" t="e">
        <v>#N/A</v>
      </c>
      <c r="J2282" s="465" t="e">
        <v>#N/A</v>
      </c>
      <c r="K2282" s="465" t="e">
        <v>#N/A</v>
      </c>
      <c r="L2282" s="464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9" t="e">
        <v>#N/A</v>
      </c>
      <c r="E2283" s="409" t="e">
        <v>#N/A</v>
      </c>
      <c r="F2283" s="409" t="e">
        <v>#N/A</v>
      </c>
      <c r="G2283" s="409" t="e">
        <v>#N/A</v>
      </c>
      <c r="H2283" s="465" t="e">
        <v>#N/A</v>
      </c>
      <c r="I2283" s="465" t="e">
        <v>#N/A</v>
      </c>
      <c r="J2283" s="465" t="e">
        <v>#N/A</v>
      </c>
      <c r="K2283" s="465" t="e">
        <v>#N/A</v>
      </c>
      <c r="L2283" s="464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9" t="e">
        <v>#N/A</v>
      </c>
      <c r="E2284" s="409" t="e">
        <v>#N/A</v>
      </c>
      <c r="F2284" s="409" t="e">
        <v>#N/A</v>
      </c>
      <c r="G2284" s="409" t="e">
        <v>#N/A</v>
      </c>
      <c r="H2284" s="465" t="e">
        <v>#N/A</v>
      </c>
      <c r="I2284" s="465" t="e">
        <v>#N/A</v>
      </c>
      <c r="J2284" s="465" t="e">
        <v>#N/A</v>
      </c>
      <c r="K2284" s="465" t="e">
        <v>#N/A</v>
      </c>
      <c r="L2284" s="464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9" t="e">
        <v>#N/A</v>
      </c>
      <c r="E2285" s="409" t="e">
        <v>#N/A</v>
      </c>
      <c r="F2285" s="409" t="e">
        <v>#N/A</v>
      </c>
      <c r="G2285" s="409" t="e">
        <v>#N/A</v>
      </c>
      <c r="H2285" s="465" t="e">
        <v>#N/A</v>
      </c>
      <c r="I2285" s="465" t="e">
        <v>#N/A</v>
      </c>
      <c r="J2285" s="465" t="e">
        <v>#N/A</v>
      </c>
      <c r="K2285" s="465" t="e">
        <v>#N/A</v>
      </c>
      <c r="L2285" s="464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9" t="e">
        <v>#N/A</v>
      </c>
      <c r="E2286" s="409" t="e">
        <v>#N/A</v>
      </c>
      <c r="F2286" s="409" t="e">
        <v>#N/A</v>
      </c>
      <c r="G2286" s="409" t="e">
        <v>#N/A</v>
      </c>
      <c r="H2286" s="465" t="e">
        <v>#N/A</v>
      </c>
      <c r="I2286" s="465" t="e">
        <v>#N/A</v>
      </c>
      <c r="J2286" s="465" t="e">
        <v>#N/A</v>
      </c>
      <c r="K2286" s="465" t="e">
        <v>#N/A</v>
      </c>
      <c r="L2286" s="464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9" t="e">
        <v>#N/A</v>
      </c>
      <c r="E2287" s="409" t="e">
        <v>#N/A</v>
      </c>
      <c r="F2287" s="409" t="e">
        <v>#N/A</v>
      </c>
      <c r="G2287" s="409" t="e">
        <v>#N/A</v>
      </c>
      <c r="H2287" s="465" t="e">
        <v>#N/A</v>
      </c>
      <c r="I2287" s="465" t="e">
        <v>#N/A</v>
      </c>
      <c r="J2287" s="465" t="e">
        <v>#N/A</v>
      </c>
      <c r="K2287" s="465" t="e">
        <v>#N/A</v>
      </c>
      <c r="L2287" s="464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9" t="e">
        <v>#N/A</v>
      </c>
      <c r="E2288" s="409" t="e">
        <v>#N/A</v>
      </c>
      <c r="F2288" s="409" t="e">
        <v>#N/A</v>
      </c>
      <c r="G2288" s="409" t="e">
        <v>#N/A</v>
      </c>
      <c r="H2288" s="465" t="e">
        <v>#N/A</v>
      </c>
      <c r="I2288" s="465" t="e">
        <v>#N/A</v>
      </c>
      <c r="J2288" s="465" t="e">
        <v>#N/A</v>
      </c>
      <c r="K2288" s="465" t="e">
        <v>#N/A</v>
      </c>
      <c r="L2288" s="464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9" t="e">
        <v>#N/A</v>
      </c>
      <c r="E2289" s="409" t="e">
        <v>#N/A</v>
      </c>
      <c r="F2289" s="409" t="e">
        <v>#N/A</v>
      </c>
      <c r="G2289" s="409" t="e">
        <v>#N/A</v>
      </c>
      <c r="H2289" s="465" t="e">
        <v>#N/A</v>
      </c>
      <c r="I2289" s="465" t="e">
        <v>#N/A</v>
      </c>
      <c r="J2289" s="465" t="e">
        <v>#N/A</v>
      </c>
      <c r="K2289" s="465" t="e">
        <v>#N/A</v>
      </c>
      <c r="L2289" s="464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9" t="e">
        <v>#N/A</v>
      </c>
      <c r="E2290" s="409" t="e">
        <v>#N/A</v>
      </c>
      <c r="F2290" s="409" t="e">
        <v>#N/A</v>
      </c>
      <c r="G2290" s="409" t="e">
        <v>#N/A</v>
      </c>
      <c r="H2290" s="465" t="e">
        <v>#N/A</v>
      </c>
      <c r="I2290" s="465" t="e">
        <v>#N/A</v>
      </c>
      <c r="J2290" s="465" t="e">
        <v>#N/A</v>
      </c>
      <c r="K2290" s="465" t="e">
        <v>#N/A</v>
      </c>
      <c r="L2290" s="464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9" t="e">
        <v>#N/A</v>
      </c>
      <c r="E2291" s="409" t="e">
        <v>#N/A</v>
      </c>
      <c r="F2291" s="409" t="e">
        <v>#N/A</v>
      </c>
      <c r="G2291" s="409" t="e">
        <v>#N/A</v>
      </c>
      <c r="H2291" s="465" t="e">
        <v>#N/A</v>
      </c>
      <c r="I2291" s="465" t="e">
        <v>#N/A</v>
      </c>
      <c r="J2291" s="465" t="e">
        <v>#N/A</v>
      </c>
      <c r="K2291" s="465" t="e">
        <v>#N/A</v>
      </c>
      <c r="L2291" s="464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9" t="e">
        <v>#N/A</v>
      </c>
      <c r="E2292" s="409" t="e">
        <v>#N/A</v>
      </c>
      <c r="F2292" s="409" t="e">
        <v>#N/A</v>
      </c>
      <c r="G2292" s="409" t="e">
        <v>#N/A</v>
      </c>
      <c r="H2292" s="465" t="e">
        <v>#N/A</v>
      </c>
      <c r="I2292" s="465" t="e">
        <v>#N/A</v>
      </c>
      <c r="J2292" s="465" t="e">
        <v>#N/A</v>
      </c>
      <c r="K2292" s="465" t="e">
        <v>#N/A</v>
      </c>
      <c r="L2292" s="464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9" t="e">
        <v>#N/A</v>
      </c>
      <c r="E2293" s="409" t="e">
        <v>#N/A</v>
      </c>
      <c r="F2293" s="409" t="e">
        <v>#N/A</v>
      </c>
      <c r="G2293" s="409" t="e">
        <v>#N/A</v>
      </c>
      <c r="H2293" s="465" t="e">
        <v>#N/A</v>
      </c>
      <c r="I2293" s="465" t="e">
        <v>#N/A</v>
      </c>
      <c r="J2293" s="465" t="e">
        <v>#N/A</v>
      </c>
      <c r="K2293" s="465" t="e">
        <v>#N/A</v>
      </c>
      <c r="L2293" s="464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9" t="e">
        <v>#N/A</v>
      </c>
      <c r="E2294" s="409" t="e">
        <v>#N/A</v>
      </c>
      <c r="F2294" s="409" t="e">
        <v>#N/A</v>
      </c>
      <c r="G2294" s="409" t="e">
        <v>#N/A</v>
      </c>
      <c r="H2294" s="465" t="e">
        <v>#N/A</v>
      </c>
      <c r="I2294" s="465" t="e">
        <v>#N/A</v>
      </c>
      <c r="J2294" s="465" t="e">
        <v>#N/A</v>
      </c>
      <c r="K2294" s="465" t="e">
        <v>#N/A</v>
      </c>
      <c r="L2294" s="464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9" t="e">
        <v>#N/A</v>
      </c>
      <c r="E2295" s="409" t="e">
        <v>#N/A</v>
      </c>
      <c r="F2295" s="409" t="e">
        <v>#N/A</v>
      </c>
      <c r="G2295" s="409" t="e">
        <v>#N/A</v>
      </c>
      <c r="H2295" s="465" t="e">
        <v>#N/A</v>
      </c>
      <c r="I2295" s="465" t="e">
        <v>#N/A</v>
      </c>
      <c r="J2295" s="465" t="e">
        <v>#N/A</v>
      </c>
      <c r="K2295" s="465" t="e">
        <v>#N/A</v>
      </c>
      <c r="L2295" s="464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9" t="e">
        <v>#N/A</v>
      </c>
      <c r="E2296" s="409" t="e">
        <v>#N/A</v>
      </c>
      <c r="F2296" s="409" t="e">
        <v>#N/A</v>
      </c>
      <c r="G2296" s="409" t="e">
        <v>#N/A</v>
      </c>
      <c r="H2296" s="465" t="e">
        <v>#N/A</v>
      </c>
      <c r="I2296" s="465" t="e">
        <v>#N/A</v>
      </c>
      <c r="J2296" s="465" t="e">
        <v>#N/A</v>
      </c>
      <c r="K2296" s="465" t="e">
        <v>#N/A</v>
      </c>
      <c r="L2296" s="464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9" t="e">
        <v>#N/A</v>
      </c>
      <c r="E2297" s="409" t="e">
        <v>#N/A</v>
      </c>
      <c r="F2297" s="409" t="e">
        <v>#N/A</v>
      </c>
      <c r="G2297" s="409" t="e">
        <v>#N/A</v>
      </c>
      <c r="H2297" s="465" t="e">
        <v>#N/A</v>
      </c>
      <c r="I2297" s="465" t="e">
        <v>#N/A</v>
      </c>
      <c r="J2297" s="465" t="e">
        <v>#N/A</v>
      </c>
      <c r="K2297" s="465" t="e">
        <v>#N/A</v>
      </c>
      <c r="L2297" s="464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9" t="e">
        <v>#N/A</v>
      </c>
      <c r="E2298" s="409" t="e">
        <v>#N/A</v>
      </c>
      <c r="F2298" s="409" t="e">
        <v>#N/A</v>
      </c>
      <c r="G2298" s="409" t="e">
        <v>#N/A</v>
      </c>
      <c r="H2298" s="465" t="e">
        <v>#N/A</v>
      </c>
      <c r="I2298" s="465" t="e">
        <v>#N/A</v>
      </c>
      <c r="J2298" s="465" t="e">
        <v>#N/A</v>
      </c>
      <c r="K2298" s="465" t="e">
        <v>#N/A</v>
      </c>
      <c r="L2298" s="464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9" t="e">
        <v>#N/A</v>
      </c>
      <c r="E2299" s="409" t="e">
        <v>#N/A</v>
      </c>
      <c r="F2299" s="409" t="e">
        <v>#N/A</v>
      </c>
      <c r="G2299" s="409" t="e">
        <v>#N/A</v>
      </c>
      <c r="H2299" s="465" t="e">
        <v>#N/A</v>
      </c>
      <c r="I2299" s="465" t="e">
        <v>#N/A</v>
      </c>
      <c r="J2299" s="465" t="e">
        <v>#N/A</v>
      </c>
      <c r="K2299" s="465" t="e">
        <v>#N/A</v>
      </c>
      <c r="L2299" s="464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9" t="e">
        <v>#N/A</v>
      </c>
      <c r="E2300" s="409" t="e">
        <v>#N/A</v>
      </c>
      <c r="F2300" s="409" t="e">
        <v>#N/A</v>
      </c>
      <c r="G2300" s="409" t="e">
        <v>#N/A</v>
      </c>
      <c r="H2300" s="465" t="e">
        <v>#N/A</v>
      </c>
      <c r="I2300" s="465" t="e">
        <v>#N/A</v>
      </c>
      <c r="J2300" s="465" t="e">
        <v>#N/A</v>
      </c>
      <c r="K2300" s="465" t="e">
        <v>#N/A</v>
      </c>
      <c r="L2300" s="464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9" t="e">
        <v>#N/A</v>
      </c>
      <c r="E2301" s="409" t="e">
        <v>#N/A</v>
      </c>
      <c r="F2301" s="409" t="e">
        <v>#N/A</v>
      </c>
      <c r="G2301" s="409" t="e">
        <v>#N/A</v>
      </c>
      <c r="H2301" s="465" t="e">
        <v>#N/A</v>
      </c>
      <c r="I2301" s="465" t="e">
        <v>#N/A</v>
      </c>
      <c r="J2301" s="465" t="e">
        <v>#N/A</v>
      </c>
      <c r="K2301" s="465" t="e">
        <v>#N/A</v>
      </c>
      <c r="L2301" s="464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9" t="e">
        <v>#N/A</v>
      </c>
      <c r="E2302" s="409" t="e">
        <v>#N/A</v>
      </c>
      <c r="F2302" s="409" t="e">
        <v>#N/A</v>
      </c>
      <c r="G2302" s="409" t="e">
        <v>#N/A</v>
      </c>
      <c r="H2302" s="465" t="e">
        <v>#N/A</v>
      </c>
      <c r="I2302" s="465" t="e">
        <v>#N/A</v>
      </c>
      <c r="J2302" s="465" t="e">
        <v>#N/A</v>
      </c>
      <c r="K2302" s="465" t="e">
        <v>#N/A</v>
      </c>
      <c r="L2302" s="464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9" t="e">
        <v>#N/A</v>
      </c>
      <c r="E2303" s="409" t="e">
        <v>#N/A</v>
      </c>
      <c r="F2303" s="409" t="e">
        <v>#N/A</v>
      </c>
      <c r="G2303" s="409" t="e">
        <v>#N/A</v>
      </c>
      <c r="H2303" s="465" t="e">
        <v>#N/A</v>
      </c>
      <c r="I2303" s="465" t="e">
        <v>#N/A</v>
      </c>
      <c r="J2303" s="465" t="e">
        <v>#N/A</v>
      </c>
      <c r="K2303" s="465" t="e">
        <v>#N/A</v>
      </c>
      <c r="L2303" s="464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9" t="e">
        <v>#N/A</v>
      </c>
      <c r="E2304" s="409" t="e">
        <v>#N/A</v>
      </c>
      <c r="F2304" s="409" t="e">
        <v>#N/A</v>
      </c>
      <c r="G2304" s="409" t="e">
        <v>#N/A</v>
      </c>
      <c r="H2304" s="465" t="e">
        <v>#N/A</v>
      </c>
      <c r="I2304" s="465" t="e">
        <v>#N/A</v>
      </c>
      <c r="J2304" s="465" t="e">
        <v>#N/A</v>
      </c>
      <c r="K2304" s="465" t="e">
        <v>#N/A</v>
      </c>
      <c r="L2304" s="464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9" t="e">
        <v>#N/A</v>
      </c>
      <c r="E2305" s="409" t="e">
        <v>#N/A</v>
      </c>
      <c r="F2305" s="409" t="e">
        <v>#N/A</v>
      </c>
      <c r="G2305" s="409" t="e">
        <v>#N/A</v>
      </c>
      <c r="H2305" s="465" t="e">
        <v>#N/A</v>
      </c>
      <c r="I2305" s="465" t="e">
        <v>#N/A</v>
      </c>
      <c r="J2305" s="465" t="e">
        <v>#N/A</v>
      </c>
      <c r="K2305" s="465" t="e">
        <v>#N/A</v>
      </c>
      <c r="L2305" s="464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9" t="e">
        <v>#N/A</v>
      </c>
      <c r="E2306" s="409" t="e">
        <v>#N/A</v>
      </c>
      <c r="F2306" s="409" t="e">
        <v>#N/A</v>
      </c>
      <c r="G2306" s="409" t="e">
        <v>#N/A</v>
      </c>
      <c r="H2306" s="465" t="e">
        <v>#N/A</v>
      </c>
      <c r="I2306" s="465" t="e">
        <v>#N/A</v>
      </c>
      <c r="J2306" s="465" t="e">
        <v>#N/A</v>
      </c>
      <c r="K2306" s="465" t="e">
        <v>#N/A</v>
      </c>
      <c r="L2306" s="464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9" t="e">
        <v>#N/A</v>
      </c>
      <c r="E2307" s="409" t="e">
        <v>#N/A</v>
      </c>
      <c r="F2307" s="409" t="e">
        <v>#N/A</v>
      </c>
      <c r="G2307" s="409" t="e">
        <v>#N/A</v>
      </c>
      <c r="H2307" s="465" t="e">
        <v>#N/A</v>
      </c>
      <c r="I2307" s="465" t="e">
        <v>#N/A</v>
      </c>
      <c r="J2307" s="465" t="e">
        <v>#N/A</v>
      </c>
      <c r="K2307" s="465" t="e">
        <v>#N/A</v>
      </c>
      <c r="L2307" s="464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9" t="e">
        <v>#N/A</v>
      </c>
      <c r="E2308" s="409" t="e">
        <v>#N/A</v>
      </c>
      <c r="F2308" s="409" t="e">
        <v>#N/A</v>
      </c>
      <c r="G2308" s="409" t="e">
        <v>#N/A</v>
      </c>
      <c r="H2308" s="465" t="e">
        <v>#N/A</v>
      </c>
      <c r="I2308" s="465" t="e">
        <v>#N/A</v>
      </c>
      <c r="J2308" s="465" t="e">
        <v>#N/A</v>
      </c>
      <c r="K2308" s="465" t="e">
        <v>#N/A</v>
      </c>
      <c r="L2308" s="464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9" t="e">
        <v>#N/A</v>
      </c>
      <c r="E2309" s="409" t="e">
        <v>#N/A</v>
      </c>
      <c r="F2309" s="409" t="e">
        <v>#N/A</v>
      </c>
      <c r="G2309" s="409" t="e">
        <v>#N/A</v>
      </c>
      <c r="H2309" s="465" t="e">
        <v>#N/A</v>
      </c>
      <c r="I2309" s="465" t="e">
        <v>#N/A</v>
      </c>
      <c r="J2309" s="465" t="e">
        <v>#N/A</v>
      </c>
      <c r="K2309" s="465" t="e">
        <v>#N/A</v>
      </c>
      <c r="L2309" s="464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9" t="e">
        <v>#N/A</v>
      </c>
      <c r="E2310" s="409" t="e">
        <v>#N/A</v>
      </c>
      <c r="F2310" s="409" t="e">
        <v>#N/A</v>
      </c>
      <c r="G2310" s="409" t="e">
        <v>#N/A</v>
      </c>
      <c r="H2310" s="465" t="e">
        <v>#N/A</v>
      </c>
      <c r="I2310" s="465" t="e">
        <v>#N/A</v>
      </c>
      <c r="J2310" s="465" t="e">
        <v>#N/A</v>
      </c>
      <c r="K2310" s="465" t="e">
        <v>#N/A</v>
      </c>
      <c r="L2310" s="464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9" t="e">
        <v>#N/A</v>
      </c>
      <c r="E2311" s="409" t="e">
        <v>#N/A</v>
      </c>
      <c r="F2311" s="409" t="e">
        <v>#N/A</v>
      </c>
      <c r="G2311" s="409" t="e">
        <v>#N/A</v>
      </c>
      <c r="H2311" s="465" t="e">
        <v>#N/A</v>
      </c>
      <c r="I2311" s="465" t="e">
        <v>#N/A</v>
      </c>
      <c r="J2311" s="465" t="e">
        <v>#N/A</v>
      </c>
      <c r="K2311" s="465" t="e">
        <v>#N/A</v>
      </c>
      <c r="L2311" s="464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9" t="e">
        <v>#N/A</v>
      </c>
      <c r="E2312" s="409" t="e">
        <v>#N/A</v>
      </c>
      <c r="F2312" s="409" t="e">
        <v>#N/A</v>
      </c>
      <c r="G2312" s="409" t="e">
        <v>#N/A</v>
      </c>
      <c r="H2312" s="465" t="e">
        <v>#N/A</v>
      </c>
      <c r="I2312" s="465" t="e">
        <v>#N/A</v>
      </c>
      <c r="J2312" s="465" t="e">
        <v>#N/A</v>
      </c>
      <c r="K2312" s="465" t="e">
        <v>#N/A</v>
      </c>
      <c r="L2312" s="464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9" t="e">
        <v>#N/A</v>
      </c>
      <c r="E2313" s="409" t="e">
        <v>#N/A</v>
      </c>
      <c r="F2313" s="409" t="e">
        <v>#N/A</v>
      </c>
      <c r="G2313" s="409" t="e">
        <v>#N/A</v>
      </c>
      <c r="H2313" s="465" t="e">
        <v>#N/A</v>
      </c>
      <c r="I2313" s="465" t="e">
        <v>#N/A</v>
      </c>
      <c r="J2313" s="465" t="e">
        <v>#N/A</v>
      </c>
      <c r="K2313" s="465" t="e">
        <v>#N/A</v>
      </c>
      <c r="L2313" s="464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9" t="e">
        <v>#N/A</v>
      </c>
      <c r="E2314" s="409" t="e">
        <v>#N/A</v>
      </c>
      <c r="F2314" s="409" t="e">
        <v>#N/A</v>
      </c>
      <c r="G2314" s="409" t="e">
        <v>#N/A</v>
      </c>
      <c r="H2314" s="465" t="e">
        <v>#N/A</v>
      </c>
      <c r="I2314" s="465" t="e">
        <v>#N/A</v>
      </c>
      <c r="J2314" s="465" t="e">
        <v>#N/A</v>
      </c>
      <c r="K2314" s="465" t="e">
        <v>#N/A</v>
      </c>
      <c r="L2314" s="464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9" t="e">
        <v>#N/A</v>
      </c>
      <c r="E2315" s="409" t="e">
        <v>#N/A</v>
      </c>
      <c r="F2315" s="409" t="e">
        <v>#N/A</v>
      </c>
      <c r="G2315" s="409" t="e">
        <v>#N/A</v>
      </c>
      <c r="H2315" s="465" t="e">
        <v>#N/A</v>
      </c>
      <c r="I2315" s="465" t="e">
        <v>#N/A</v>
      </c>
      <c r="J2315" s="465" t="e">
        <v>#N/A</v>
      </c>
      <c r="K2315" s="465" t="e">
        <v>#N/A</v>
      </c>
      <c r="L2315" s="464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9" t="e">
        <v>#N/A</v>
      </c>
      <c r="E2316" s="409" t="e">
        <v>#N/A</v>
      </c>
      <c r="F2316" s="409" t="e">
        <v>#N/A</v>
      </c>
      <c r="G2316" s="409" t="e">
        <v>#N/A</v>
      </c>
      <c r="H2316" s="465" t="e">
        <v>#N/A</v>
      </c>
      <c r="I2316" s="465" t="e">
        <v>#N/A</v>
      </c>
      <c r="J2316" s="465" t="e">
        <v>#N/A</v>
      </c>
      <c r="K2316" s="465" t="e">
        <v>#N/A</v>
      </c>
      <c r="L2316" s="464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9" t="e">
        <v>#N/A</v>
      </c>
      <c r="E2317" s="409" t="e">
        <v>#N/A</v>
      </c>
      <c r="F2317" s="409" t="e">
        <v>#N/A</v>
      </c>
      <c r="G2317" s="409" t="e">
        <v>#N/A</v>
      </c>
      <c r="H2317" s="465" t="e">
        <v>#N/A</v>
      </c>
      <c r="I2317" s="465" t="e">
        <v>#N/A</v>
      </c>
      <c r="J2317" s="465" t="e">
        <v>#N/A</v>
      </c>
      <c r="K2317" s="465" t="e">
        <v>#N/A</v>
      </c>
      <c r="L2317" s="464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9" t="e">
        <v>#N/A</v>
      </c>
      <c r="E2318" s="409" t="e">
        <v>#N/A</v>
      </c>
      <c r="F2318" s="409" t="e">
        <v>#N/A</v>
      </c>
      <c r="G2318" s="409" t="e">
        <v>#N/A</v>
      </c>
      <c r="H2318" s="465" t="e">
        <v>#N/A</v>
      </c>
      <c r="I2318" s="465" t="e">
        <v>#N/A</v>
      </c>
      <c r="J2318" s="465" t="e">
        <v>#N/A</v>
      </c>
      <c r="K2318" s="465" t="e">
        <v>#N/A</v>
      </c>
      <c r="L2318" s="464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9" t="e">
        <v>#N/A</v>
      </c>
      <c r="E2319" s="409" t="e">
        <v>#N/A</v>
      </c>
      <c r="F2319" s="409" t="e">
        <v>#N/A</v>
      </c>
      <c r="G2319" s="409" t="e">
        <v>#N/A</v>
      </c>
      <c r="H2319" s="465" t="e">
        <v>#N/A</v>
      </c>
      <c r="I2319" s="465" t="e">
        <v>#N/A</v>
      </c>
      <c r="J2319" s="465" t="e">
        <v>#N/A</v>
      </c>
      <c r="K2319" s="465" t="e">
        <v>#N/A</v>
      </c>
      <c r="L2319" s="464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9" t="e">
        <v>#N/A</v>
      </c>
      <c r="E2320" s="409" t="e">
        <v>#N/A</v>
      </c>
      <c r="F2320" s="409" t="e">
        <v>#N/A</v>
      </c>
      <c r="G2320" s="409" t="e">
        <v>#N/A</v>
      </c>
      <c r="H2320" s="465" t="e">
        <v>#N/A</v>
      </c>
      <c r="I2320" s="465" t="e">
        <v>#N/A</v>
      </c>
      <c r="J2320" s="465" t="e">
        <v>#N/A</v>
      </c>
      <c r="K2320" s="465" t="e">
        <v>#N/A</v>
      </c>
      <c r="L2320" s="464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9" t="e">
        <v>#N/A</v>
      </c>
      <c r="E2321" s="409" t="e">
        <v>#N/A</v>
      </c>
      <c r="F2321" s="409" t="e">
        <v>#N/A</v>
      </c>
      <c r="G2321" s="409" t="e">
        <v>#N/A</v>
      </c>
      <c r="H2321" s="465" t="e">
        <v>#N/A</v>
      </c>
      <c r="I2321" s="465" t="e">
        <v>#N/A</v>
      </c>
      <c r="J2321" s="465" t="e">
        <v>#N/A</v>
      </c>
      <c r="K2321" s="465" t="e">
        <v>#N/A</v>
      </c>
      <c r="L2321" s="464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9" t="e">
        <v>#N/A</v>
      </c>
      <c r="E2322" s="409" t="e">
        <v>#N/A</v>
      </c>
      <c r="F2322" s="409" t="e">
        <v>#N/A</v>
      </c>
      <c r="G2322" s="409" t="e">
        <v>#N/A</v>
      </c>
      <c r="H2322" s="465" t="e">
        <v>#N/A</v>
      </c>
      <c r="I2322" s="465" t="e">
        <v>#N/A</v>
      </c>
      <c r="J2322" s="465" t="e">
        <v>#N/A</v>
      </c>
      <c r="K2322" s="465" t="e">
        <v>#N/A</v>
      </c>
      <c r="L2322" s="464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9" t="e">
        <v>#N/A</v>
      </c>
      <c r="E2323" s="409" t="e">
        <v>#N/A</v>
      </c>
      <c r="F2323" s="409" t="e">
        <v>#N/A</v>
      </c>
      <c r="G2323" s="409" t="e">
        <v>#N/A</v>
      </c>
      <c r="H2323" s="465" t="e">
        <v>#N/A</v>
      </c>
      <c r="I2323" s="465" t="e">
        <v>#N/A</v>
      </c>
      <c r="J2323" s="465" t="e">
        <v>#N/A</v>
      </c>
      <c r="K2323" s="465" t="e">
        <v>#N/A</v>
      </c>
      <c r="L2323" s="464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9" t="e">
        <v>#N/A</v>
      </c>
      <c r="E2324" s="409" t="e">
        <v>#N/A</v>
      </c>
      <c r="F2324" s="409" t="e">
        <v>#N/A</v>
      </c>
      <c r="G2324" s="409" t="e">
        <v>#N/A</v>
      </c>
      <c r="H2324" s="465" t="e">
        <v>#N/A</v>
      </c>
      <c r="I2324" s="465" t="e">
        <v>#N/A</v>
      </c>
      <c r="J2324" s="465" t="e">
        <v>#N/A</v>
      </c>
      <c r="K2324" s="465" t="e">
        <v>#N/A</v>
      </c>
      <c r="L2324" s="464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9" t="e">
        <v>#N/A</v>
      </c>
      <c r="E2325" s="409" t="e">
        <v>#N/A</v>
      </c>
      <c r="F2325" s="409" t="e">
        <v>#N/A</v>
      </c>
      <c r="G2325" s="409" t="e">
        <v>#N/A</v>
      </c>
      <c r="H2325" s="465" t="e">
        <v>#N/A</v>
      </c>
      <c r="I2325" s="465" t="e">
        <v>#N/A</v>
      </c>
      <c r="J2325" s="465" t="e">
        <v>#N/A</v>
      </c>
      <c r="K2325" s="465" t="e">
        <v>#N/A</v>
      </c>
      <c r="L2325" s="464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9" t="e">
        <v>#N/A</v>
      </c>
      <c r="E2326" s="409" t="e">
        <v>#N/A</v>
      </c>
      <c r="F2326" s="409" t="e">
        <v>#N/A</v>
      </c>
      <c r="G2326" s="409" t="e">
        <v>#N/A</v>
      </c>
      <c r="H2326" s="465" t="e">
        <v>#N/A</v>
      </c>
      <c r="I2326" s="465" t="e">
        <v>#N/A</v>
      </c>
      <c r="J2326" s="465" t="e">
        <v>#N/A</v>
      </c>
      <c r="K2326" s="465" t="e">
        <v>#N/A</v>
      </c>
      <c r="L2326" s="464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9" t="e">
        <v>#N/A</v>
      </c>
      <c r="E2327" s="409" t="e">
        <v>#N/A</v>
      </c>
      <c r="F2327" s="409" t="e">
        <v>#N/A</v>
      </c>
      <c r="G2327" s="409" t="e">
        <v>#N/A</v>
      </c>
      <c r="H2327" s="465" t="e">
        <v>#N/A</v>
      </c>
      <c r="I2327" s="465" t="e">
        <v>#N/A</v>
      </c>
      <c r="J2327" s="465" t="e">
        <v>#N/A</v>
      </c>
      <c r="K2327" s="465" t="e">
        <v>#N/A</v>
      </c>
      <c r="L2327" s="464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9" t="e">
        <v>#N/A</v>
      </c>
      <c r="E2328" s="409" t="e">
        <v>#N/A</v>
      </c>
      <c r="F2328" s="409" t="e">
        <v>#N/A</v>
      </c>
      <c r="G2328" s="409" t="e">
        <v>#N/A</v>
      </c>
      <c r="H2328" s="465" t="e">
        <v>#N/A</v>
      </c>
      <c r="I2328" s="465" t="e">
        <v>#N/A</v>
      </c>
      <c r="J2328" s="465" t="e">
        <v>#N/A</v>
      </c>
      <c r="K2328" s="465" t="e">
        <v>#N/A</v>
      </c>
      <c r="L2328" s="464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9" t="e">
        <v>#N/A</v>
      </c>
      <c r="E2329" s="409" t="e">
        <v>#N/A</v>
      </c>
      <c r="F2329" s="409" t="e">
        <v>#N/A</v>
      </c>
      <c r="G2329" s="409" t="e">
        <v>#N/A</v>
      </c>
      <c r="H2329" s="465" t="e">
        <v>#N/A</v>
      </c>
      <c r="I2329" s="465" t="e">
        <v>#N/A</v>
      </c>
      <c r="J2329" s="465" t="e">
        <v>#N/A</v>
      </c>
      <c r="K2329" s="465" t="e">
        <v>#N/A</v>
      </c>
      <c r="L2329" s="464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9" t="e">
        <v>#N/A</v>
      </c>
      <c r="E2330" s="409" t="e">
        <v>#N/A</v>
      </c>
      <c r="F2330" s="409" t="e">
        <v>#N/A</v>
      </c>
      <c r="G2330" s="409" t="e">
        <v>#N/A</v>
      </c>
      <c r="H2330" s="465" t="e">
        <v>#N/A</v>
      </c>
      <c r="I2330" s="465" t="e">
        <v>#N/A</v>
      </c>
      <c r="J2330" s="465" t="e">
        <v>#N/A</v>
      </c>
      <c r="K2330" s="465" t="e">
        <v>#N/A</v>
      </c>
      <c r="L2330" s="464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9" t="e">
        <v>#N/A</v>
      </c>
      <c r="E2331" s="409" t="e">
        <v>#N/A</v>
      </c>
      <c r="F2331" s="409" t="e">
        <v>#N/A</v>
      </c>
      <c r="G2331" s="409" t="e">
        <v>#N/A</v>
      </c>
      <c r="H2331" s="465" t="e">
        <v>#N/A</v>
      </c>
      <c r="I2331" s="465" t="e">
        <v>#N/A</v>
      </c>
      <c r="J2331" s="465" t="e">
        <v>#N/A</v>
      </c>
      <c r="K2331" s="465" t="e">
        <v>#N/A</v>
      </c>
      <c r="L2331" s="464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9" t="e">
        <v>#N/A</v>
      </c>
      <c r="E2332" s="409" t="e">
        <v>#N/A</v>
      </c>
      <c r="F2332" s="409" t="e">
        <v>#N/A</v>
      </c>
      <c r="G2332" s="409" t="e">
        <v>#N/A</v>
      </c>
      <c r="H2332" s="465" t="e">
        <v>#N/A</v>
      </c>
      <c r="I2332" s="465" t="e">
        <v>#N/A</v>
      </c>
      <c r="J2332" s="465" t="e">
        <v>#N/A</v>
      </c>
      <c r="K2332" s="465" t="e">
        <v>#N/A</v>
      </c>
      <c r="L2332" s="464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9" t="e">
        <v>#N/A</v>
      </c>
      <c r="E2333" s="409" t="e">
        <v>#N/A</v>
      </c>
      <c r="F2333" s="409" t="e">
        <v>#N/A</v>
      </c>
      <c r="G2333" s="409" t="e">
        <v>#N/A</v>
      </c>
      <c r="H2333" s="465" t="e">
        <v>#N/A</v>
      </c>
      <c r="I2333" s="465" t="e">
        <v>#N/A</v>
      </c>
      <c r="J2333" s="465" t="e">
        <v>#N/A</v>
      </c>
      <c r="K2333" s="465" t="e">
        <v>#N/A</v>
      </c>
      <c r="L2333" s="464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9" t="e">
        <v>#N/A</v>
      </c>
      <c r="E2334" s="409" t="e">
        <v>#N/A</v>
      </c>
      <c r="F2334" s="409" t="e">
        <v>#N/A</v>
      </c>
      <c r="G2334" s="409" t="e">
        <v>#N/A</v>
      </c>
      <c r="H2334" s="465" t="e">
        <v>#N/A</v>
      </c>
      <c r="I2334" s="465" t="e">
        <v>#N/A</v>
      </c>
      <c r="J2334" s="465" t="e">
        <v>#N/A</v>
      </c>
      <c r="K2334" s="465" t="e">
        <v>#N/A</v>
      </c>
      <c r="L2334" s="464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9" t="e">
        <v>#N/A</v>
      </c>
      <c r="E2335" s="409" t="e">
        <v>#N/A</v>
      </c>
      <c r="F2335" s="409" t="e">
        <v>#N/A</v>
      </c>
      <c r="G2335" s="409" t="e">
        <v>#N/A</v>
      </c>
      <c r="H2335" s="465" t="e">
        <v>#N/A</v>
      </c>
      <c r="I2335" s="465" t="e">
        <v>#N/A</v>
      </c>
      <c r="J2335" s="465" t="e">
        <v>#N/A</v>
      </c>
      <c r="K2335" s="465" t="e">
        <v>#N/A</v>
      </c>
      <c r="L2335" s="464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9" t="e">
        <v>#N/A</v>
      </c>
      <c r="E2336" s="409" t="e">
        <v>#N/A</v>
      </c>
      <c r="F2336" s="409" t="e">
        <v>#N/A</v>
      </c>
      <c r="G2336" s="409" t="e">
        <v>#N/A</v>
      </c>
      <c r="H2336" s="465" t="e">
        <v>#N/A</v>
      </c>
      <c r="I2336" s="465" t="e">
        <v>#N/A</v>
      </c>
      <c r="J2336" s="465" t="e">
        <v>#N/A</v>
      </c>
      <c r="K2336" s="465" t="e">
        <v>#N/A</v>
      </c>
      <c r="L2336" s="464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9" t="e">
        <v>#N/A</v>
      </c>
      <c r="E2337" s="409" t="e">
        <v>#N/A</v>
      </c>
      <c r="F2337" s="409" t="e">
        <v>#N/A</v>
      </c>
      <c r="G2337" s="409" t="e">
        <v>#N/A</v>
      </c>
      <c r="H2337" s="465" t="e">
        <v>#N/A</v>
      </c>
      <c r="I2337" s="465" t="e">
        <v>#N/A</v>
      </c>
      <c r="J2337" s="465" t="e">
        <v>#N/A</v>
      </c>
      <c r="K2337" s="465" t="e">
        <v>#N/A</v>
      </c>
      <c r="L2337" s="464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9" t="e">
        <v>#N/A</v>
      </c>
      <c r="E2338" s="409" t="e">
        <v>#N/A</v>
      </c>
      <c r="F2338" s="409" t="e">
        <v>#N/A</v>
      </c>
      <c r="G2338" s="409" t="e">
        <v>#N/A</v>
      </c>
      <c r="H2338" s="465" t="e">
        <v>#N/A</v>
      </c>
      <c r="I2338" s="465" t="e">
        <v>#N/A</v>
      </c>
      <c r="J2338" s="465" t="e">
        <v>#N/A</v>
      </c>
      <c r="K2338" s="465" t="e">
        <v>#N/A</v>
      </c>
      <c r="L2338" s="464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9" t="e">
        <v>#N/A</v>
      </c>
      <c r="E2339" s="409" t="e">
        <v>#N/A</v>
      </c>
      <c r="F2339" s="409" t="e">
        <v>#N/A</v>
      </c>
      <c r="G2339" s="409" t="e">
        <v>#N/A</v>
      </c>
      <c r="H2339" s="465" t="e">
        <v>#N/A</v>
      </c>
      <c r="I2339" s="465" t="e">
        <v>#N/A</v>
      </c>
      <c r="J2339" s="465" t="e">
        <v>#N/A</v>
      </c>
      <c r="K2339" s="465" t="e">
        <v>#N/A</v>
      </c>
      <c r="L2339" s="464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9" t="e">
        <v>#N/A</v>
      </c>
      <c r="E2340" s="409" t="e">
        <v>#N/A</v>
      </c>
      <c r="F2340" s="409" t="e">
        <v>#N/A</v>
      </c>
      <c r="G2340" s="409" t="e">
        <v>#N/A</v>
      </c>
      <c r="H2340" s="465" t="e">
        <v>#N/A</v>
      </c>
      <c r="I2340" s="465" t="e">
        <v>#N/A</v>
      </c>
      <c r="J2340" s="465" t="e">
        <v>#N/A</v>
      </c>
      <c r="K2340" s="465" t="e">
        <v>#N/A</v>
      </c>
      <c r="L2340" s="464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9" t="e">
        <v>#N/A</v>
      </c>
      <c r="E2341" s="409" t="e">
        <v>#N/A</v>
      </c>
      <c r="F2341" s="409" t="e">
        <v>#N/A</v>
      </c>
      <c r="G2341" s="409" t="e">
        <v>#N/A</v>
      </c>
      <c r="H2341" s="465" t="e">
        <v>#N/A</v>
      </c>
      <c r="I2341" s="465" t="e">
        <v>#N/A</v>
      </c>
      <c r="J2341" s="465" t="e">
        <v>#N/A</v>
      </c>
      <c r="K2341" s="465" t="e">
        <v>#N/A</v>
      </c>
      <c r="L2341" s="464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9" t="e">
        <v>#N/A</v>
      </c>
      <c r="E2342" s="409" t="e">
        <v>#N/A</v>
      </c>
      <c r="F2342" s="409" t="e">
        <v>#N/A</v>
      </c>
      <c r="G2342" s="409" t="e">
        <v>#N/A</v>
      </c>
      <c r="H2342" s="465" t="e">
        <v>#N/A</v>
      </c>
      <c r="I2342" s="465" t="e">
        <v>#N/A</v>
      </c>
      <c r="J2342" s="465" t="e">
        <v>#N/A</v>
      </c>
      <c r="K2342" s="465" t="e">
        <v>#N/A</v>
      </c>
      <c r="L2342" s="464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9" t="e">
        <v>#N/A</v>
      </c>
      <c r="E2343" s="409" t="e">
        <v>#N/A</v>
      </c>
      <c r="F2343" s="409" t="e">
        <v>#N/A</v>
      </c>
      <c r="G2343" s="409" t="e">
        <v>#N/A</v>
      </c>
      <c r="H2343" s="465" t="e">
        <v>#N/A</v>
      </c>
      <c r="I2343" s="465" t="e">
        <v>#N/A</v>
      </c>
      <c r="J2343" s="465" t="e">
        <v>#N/A</v>
      </c>
      <c r="K2343" s="465" t="e">
        <v>#N/A</v>
      </c>
      <c r="L2343" s="464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9" t="e">
        <v>#N/A</v>
      </c>
      <c r="E2344" s="409" t="e">
        <v>#N/A</v>
      </c>
      <c r="F2344" s="409" t="e">
        <v>#N/A</v>
      </c>
      <c r="G2344" s="409" t="e">
        <v>#N/A</v>
      </c>
      <c r="H2344" s="465" t="e">
        <v>#N/A</v>
      </c>
      <c r="I2344" s="465" t="e">
        <v>#N/A</v>
      </c>
      <c r="J2344" s="465" t="e">
        <v>#N/A</v>
      </c>
      <c r="K2344" s="465" t="e">
        <v>#N/A</v>
      </c>
      <c r="L2344" s="464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9" t="e">
        <v>#N/A</v>
      </c>
      <c r="E2345" s="409" t="e">
        <v>#N/A</v>
      </c>
      <c r="F2345" s="409" t="e">
        <v>#N/A</v>
      </c>
      <c r="G2345" s="409" t="e">
        <v>#N/A</v>
      </c>
      <c r="H2345" s="465" t="e">
        <v>#N/A</v>
      </c>
      <c r="I2345" s="465" t="e">
        <v>#N/A</v>
      </c>
      <c r="J2345" s="465" t="e">
        <v>#N/A</v>
      </c>
      <c r="K2345" s="465" t="e">
        <v>#N/A</v>
      </c>
      <c r="L2345" s="464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9" t="e">
        <v>#N/A</v>
      </c>
      <c r="E2346" s="409" t="e">
        <v>#N/A</v>
      </c>
      <c r="F2346" s="409" t="e">
        <v>#N/A</v>
      </c>
      <c r="G2346" s="409" t="e">
        <v>#N/A</v>
      </c>
      <c r="H2346" s="465" t="e">
        <v>#N/A</v>
      </c>
      <c r="I2346" s="465" t="e">
        <v>#N/A</v>
      </c>
      <c r="J2346" s="465" t="e">
        <v>#N/A</v>
      </c>
      <c r="K2346" s="465" t="e">
        <v>#N/A</v>
      </c>
      <c r="L2346" s="464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9" t="e">
        <v>#N/A</v>
      </c>
      <c r="E2347" s="409" t="e">
        <v>#N/A</v>
      </c>
      <c r="F2347" s="409" t="e">
        <v>#N/A</v>
      </c>
      <c r="G2347" s="409" t="e">
        <v>#N/A</v>
      </c>
      <c r="H2347" s="465" t="e">
        <v>#N/A</v>
      </c>
      <c r="I2347" s="465" t="e">
        <v>#N/A</v>
      </c>
      <c r="J2347" s="465" t="e">
        <v>#N/A</v>
      </c>
      <c r="K2347" s="465" t="e">
        <v>#N/A</v>
      </c>
      <c r="L2347" s="464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9" t="e">
        <v>#N/A</v>
      </c>
      <c r="E2348" s="409" t="e">
        <v>#N/A</v>
      </c>
      <c r="F2348" s="409" t="e">
        <v>#N/A</v>
      </c>
      <c r="G2348" s="409" t="e">
        <v>#N/A</v>
      </c>
      <c r="H2348" s="465" t="e">
        <v>#N/A</v>
      </c>
      <c r="I2348" s="465" t="e">
        <v>#N/A</v>
      </c>
      <c r="J2348" s="465" t="e">
        <v>#N/A</v>
      </c>
      <c r="K2348" s="465" t="e">
        <v>#N/A</v>
      </c>
      <c r="L2348" s="464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9" t="e">
        <v>#N/A</v>
      </c>
      <c r="E2349" s="409" t="e">
        <v>#N/A</v>
      </c>
      <c r="F2349" s="409" t="e">
        <v>#N/A</v>
      </c>
      <c r="G2349" s="409" t="e">
        <v>#N/A</v>
      </c>
      <c r="H2349" s="465" t="e">
        <v>#N/A</v>
      </c>
      <c r="I2349" s="465" t="e">
        <v>#N/A</v>
      </c>
      <c r="J2349" s="465" t="e">
        <v>#N/A</v>
      </c>
      <c r="K2349" s="465" t="e">
        <v>#N/A</v>
      </c>
      <c r="L2349" s="464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9" t="e">
        <v>#N/A</v>
      </c>
      <c r="E2350" s="409" t="e">
        <v>#N/A</v>
      </c>
      <c r="F2350" s="409" t="e">
        <v>#N/A</v>
      </c>
      <c r="G2350" s="409" t="e">
        <v>#N/A</v>
      </c>
      <c r="H2350" s="465" t="e">
        <v>#N/A</v>
      </c>
      <c r="I2350" s="465" t="e">
        <v>#N/A</v>
      </c>
      <c r="J2350" s="465" t="e">
        <v>#N/A</v>
      </c>
      <c r="K2350" s="465" t="e">
        <v>#N/A</v>
      </c>
      <c r="L2350" s="464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9" t="e">
        <v>#N/A</v>
      </c>
      <c r="E2351" s="409" t="e">
        <v>#N/A</v>
      </c>
      <c r="F2351" s="409" t="e">
        <v>#N/A</v>
      </c>
      <c r="G2351" s="409" t="e">
        <v>#N/A</v>
      </c>
      <c r="H2351" s="465" t="e">
        <v>#N/A</v>
      </c>
      <c r="I2351" s="465" t="e">
        <v>#N/A</v>
      </c>
      <c r="J2351" s="465" t="e">
        <v>#N/A</v>
      </c>
      <c r="K2351" s="465" t="e">
        <v>#N/A</v>
      </c>
      <c r="L2351" s="464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9" t="e">
        <v>#N/A</v>
      </c>
      <c r="E2352" s="409" t="e">
        <v>#N/A</v>
      </c>
      <c r="F2352" s="409" t="e">
        <v>#N/A</v>
      </c>
      <c r="G2352" s="409" t="e">
        <v>#N/A</v>
      </c>
      <c r="H2352" s="465" t="e">
        <v>#N/A</v>
      </c>
      <c r="I2352" s="465" t="e">
        <v>#N/A</v>
      </c>
      <c r="J2352" s="465" t="e">
        <v>#N/A</v>
      </c>
      <c r="K2352" s="465" t="e">
        <v>#N/A</v>
      </c>
      <c r="L2352" s="464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9" t="e">
        <v>#N/A</v>
      </c>
      <c r="E2353" s="409" t="e">
        <v>#N/A</v>
      </c>
      <c r="F2353" s="409" t="e">
        <v>#N/A</v>
      </c>
      <c r="G2353" s="409" t="e">
        <v>#N/A</v>
      </c>
      <c r="H2353" s="465" t="e">
        <v>#N/A</v>
      </c>
      <c r="I2353" s="465" t="e">
        <v>#N/A</v>
      </c>
      <c r="J2353" s="465" t="e">
        <v>#N/A</v>
      </c>
      <c r="K2353" s="465" t="e">
        <v>#N/A</v>
      </c>
      <c r="L2353" s="464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S-Salu 06(S06)-DOLNÝ VOD.profil 2m alu</v>
      </c>
      <c r="C2354" s="185">
        <f t="shared" si="73"/>
        <v>0</v>
      </c>
      <c r="D2354" s="409" t="s">
        <v>8580</v>
      </c>
      <c r="E2354" s="409" t="s">
        <v>8581</v>
      </c>
      <c r="F2354" s="409" t="s">
        <v>8582</v>
      </c>
      <c r="G2354" s="409" t="s">
        <v>8583</v>
      </c>
      <c r="H2354" s="465">
        <v>0</v>
      </c>
      <c r="I2354" s="465">
        <v>0</v>
      </c>
      <c r="J2354" s="465">
        <v>0</v>
      </c>
      <c r="K2354" s="465">
        <v>0</v>
      </c>
      <c r="L2354" s="464" t="s">
        <v>540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S-Salu 06(S06)-DOLNÝ VOD.profil 3,5m str</v>
      </c>
      <c r="C2355" s="185">
        <f t="shared" si="73"/>
        <v>0</v>
      </c>
      <c r="D2355" s="409" t="s">
        <v>8584</v>
      </c>
      <c r="E2355" s="409" t="s">
        <v>8585</v>
      </c>
      <c r="F2355" s="409" t="s">
        <v>8586</v>
      </c>
      <c r="G2355" s="409" t="s">
        <v>8587</v>
      </c>
      <c r="H2355" s="465">
        <v>0</v>
      </c>
      <c r="I2355" s="465">
        <v>0</v>
      </c>
      <c r="J2355" s="465">
        <v>0</v>
      </c>
      <c r="K2355" s="465">
        <v>0</v>
      </c>
      <c r="L2355" s="464" t="s">
        <v>540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ZR10 sada pre rozbalovacie dvere</v>
      </c>
      <c r="C2356" s="185">
        <f t="shared" si="73"/>
        <v>20.818079999999998</v>
      </c>
      <c r="D2356" s="409" t="s">
        <v>1701</v>
      </c>
      <c r="E2356" s="409" t="s">
        <v>2133</v>
      </c>
      <c r="F2356" s="409" t="s">
        <v>2303</v>
      </c>
      <c r="G2356" s="409" t="s">
        <v>2609</v>
      </c>
      <c r="H2356" s="465">
        <v>578.99838</v>
      </c>
      <c r="I2356" s="465">
        <v>20.818079999999998</v>
      </c>
      <c r="J2356" s="465">
        <v>72.572999999999993</v>
      </c>
      <c r="K2356" s="465">
        <v>8297.3196100000005</v>
      </c>
      <c r="L2356" s="464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horný vodiaci profil 2m strieborný</v>
      </c>
      <c r="C2357" s="185">
        <f t="shared" si="73"/>
        <v>0</v>
      </c>
      <c r="D2357" s="409" t="s">
        <v>8588</v>
      </c>
      <c r="E2357" s="409" t="s">
        <v>8589</v>
      </c>
      <c r="F2357" s="409" t="s">
        <v>8590</v>
      </c>
      <c r="G2357" s="409" t="s">
        <v>8591</v>
      </c>
      <c r="H2357" s="465">
        <v>0</v>
      </c>
      <c r="I2357" s="465">
        <v>0</v>
      </c>
      <c r="J2357" s="465">
        <v>0</v>
      </c>
      <c r="K2357" s="465">
        <v>0</v>
      </c>
      <c r="L2357" s="464" t="s">
        <v>540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S-S05 -horný vod.profil 2,5m,str</v>
      </c>
      <c r="C2358" s="185">
        <f t="shared" si="73"/>
        <v>0</v>
      </c>
      <c r="D2358" s="409" t="s">
        <v>8592</v>
      </c>
      <c r="E2358" s="409" t="s">
        <v>8593</v>
      </c>
      <c r="F2358" s="409" t="s">
        <v>8594</v>
      </c>
      <c r="G2358" s="409" t="s">
        <v>8595</v>
      </c>
      <c r="H2358" s="465">
        <v>0</v>
      </c>
      <c r="I2358" s="465">
        <v>0</v>
      </c>
      <c r="J2358" s="465">
        <v>0</v>
      </c>
      <c r="K2358" s="465">
        <v>0</v>
      </c>
      <c r="L2358" s="464" t="s">
        <v>540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S-S05 -horný vod.profil 3m,str</v>
      </c>
      <c r="C2359" s="185">
        <f t="shared" si="73"/>
        <v>44.059249999999999</v>
      </c>
      <c r="D2359" s="409" t="s">
        <v>8596</v>
      </c>
      <c r="E2359" s="409" t="s">
        <v>8597</v>
      </c>
      <c r="F2359" s="409" t="s">
        <v>8598</v>
      </c>
      <c r="G2359" s="409" t="s">
        <v>8599</v>
      </c>
      <c r="H2359" s="465">
        <v>991.53599999999994</v>
      </c>
      <c r="I2359" s="465">
        <v>44.059249999999999</v>
      </c>
      <c r="J2359" s="465">
        <v>234.77198999999999</v>
      </c>
      <c r="K2359" s="465">
        <v>17191.954849999998</v>
      </c>
      <c r="L2359" s="464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dolný vodiaci profil 2m strieborný</v>
      </c>
      <c r="C2360" s="185">
        <f t="shared" si="73"/>
        <v>14.77941</v>
      </c>
      <c r="D2360" s="409" t="s">
        <v>8600</v>
      </c>
      <c r="E2360" s="409" t="s">
        <v>8601</v>
      </c>
      <c r="F2360" s="409" t="s">
        <v>8602</v>
      </c>
      <c r="G2360" s="409" t="s">
        <v>8603</v>
      </c>
      <c r="H2360" s="465">
        <v>387.36707000000001</v>
      </c>
      <c r="I2360" s="465">
        <v>14.77941</v>
      </c>
      <c r="J2360" s="465">
        <v>74.000470000000007</v>
      </c>
      <c r="K2360" s="465">
        <v>7130.7804500000002</v>
      </c>
      <c r="L2360" s="464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S-S06 -horný vod.profil 2,5m,str</v>
      </c>
      <c r="C2361" s="185">
        <f t="shared" si="73"/>
        <v>0</v>
      </c>
      <c r="D2361" s="409" t="s">
        <v>8604</v>
      </c>
      <c r="E2361" s="409" t="s">
        <v>8605</v>
      </c>
      <c r="F2361" s="409" t="s">
        <v>8606</v>
      </c>
      <c r="G2361" s="409" t="s">
        <v>8607</v>
      </c>
      <c r="H2361" s="465">
        <v>0</v>
      </c>
      <c r="I2361" s="465">
        <v>0</v>
      </c>
      <c r="J2361" s="465">
        <v>0</v>
      </c>
      <c r="K2361" s="465">
        <v>0</v>
      </c>
      <c r="L2361" s="464" t="s">
        <v>540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S-S06 -dolný vod.profil alu 4m</v>
      </c>
      <c r="C2362" s="185">
        <f t="shared" si="73"/>
        <v>0</v>
      </c>
      <c r="D2362" s="409" t="s">
        <v>8608</v>
      </c>
      <c r="E2362" s="409" t="s">
        <v>8609</v>
      </c>
      <c r="F2362" s="409" t="s">
        <v>8610</v>
      </c>
      <c r="G2362" s="409" t="s">
        <v>8611</v>
      </c>
      <c r="H2362" s="465">
        <v>0</v>
      </c>
      <c r="I2362" s="465">
        <v>0</v>
      </c>
      <c r="J2362" s="465">
        <v>0</v>
      </c>
      <c r="K2362" s="465">
        <v>0</v>
      </c>
      <c r="L2362" s="464" t="s">
        <v>540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úchytový profil + krycí profil alu 2,7m</v>
      </c>
      <c r="C2363" s="185">
        <f t="shared" si="73"/>
        <v>27.889749999999999</v>
      </c>
      <c r="D2363" s="409" t="s">
        <v>8612</v>
      </c>
      <c r="E2363" s="409" t="s">
        <v>8613</v>
      </c>
      <c r="F2363" s="409" t="s">
        <v>8612</v>
      </c>
      <c r="G2363" s="409" t="s">
        <v>8614</v>
      </c>
      <c r="H2363" s="465">
        <v>682.86400000000003</v>
      </c>
      <c r="I2363" s="465">
        <v>27.889749999999999</v>
      </c>
      <c r="J2363" s="465">
        <v>127.52678</v>
      </c>
      <c r="K2363" s="465">
        <v>12288.645500000001</v>
      </c>
      <c r="L2363" s="464" t="s">
        <v>537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horný a stredná profil 4/18mm 2m strieborný</v>
      </c>
      <c r="C2364" s="185">
        <f t="shared" si="73"/>
        <v>18.940950000000001</v>
      </c>
      <c r="D2364" s="409" t="s">
        <v>8615</v>
      </c>
      <c r="E2364" s="409" t="s">
        <v>8616</v>
      </c>
      <c r="F2364" s="409" t="s">
        <v>8617</v>
      </c>
      <c r="G2364" s="409" t="s">
        <v>8618</v>
      </c>
      <c r="H2364" s="465">
        <v>496.44094999999999</v>
      </c>
      <c r="I2364" s="465">
        <v>18.940950000000001</v>
      </c>
      <c r="J2364" s="465">
        <v>94.837329999999994</v>
      </c>
      <c r="K2364" s="465">
        <v>7608.7742099999996</v>
      </c>
      <c r="L2364" s="464" t="s">
        <v>537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horný a stredný profil 4/18mm 3m strieborný</v>
      </c>
      <c r="C2365" s="185">
        <f t="shared" si="73"/>
        <v>19.267119999999998</v>
      </c>
      <c r="D2365" s="409" t="s">
        <v>8619</v>
      </c>
      <c r="E2365" s="409" t="s">
        <v>8620</v>
      </c>
      <c r="F2365" s="409" t="s">
        <v>8621</v>
      </c>
      <c r="G2365" s="409" t="s">
        <v>8622</v>
      </c>
      <c r="H2365" s="465">
        <v>471.74400000000003</v>
      </c>
      <c r="I2365" s="465">
        <v>19.267119999999998</v>
      </c>
      <c r="J2365" s="465">
        <v>87.248580000000004</v>
      </c>
      <c r="K2365" s="465">
        <v>8179.4322700000002</v>
      </c>
      <c r="L2365" s="464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dolný profil 4/18mm 2m strieborný</v>
      </c>
      <c r="C2366" s="185">
        <f t="shared" si="73"/>
        <v>26.878820000000001</v>
      </c>
      <c r="D2366" s="409" t="s">
        <v>8623</v>
      </c>
      <c r="E2366" s="409" t="s">
        <v>8624</v>
      </c>
      <c r="F2366" s="409" t="s">
        <v>8625</v>
      </c>
      <c r="G2366" s="409" t="s">
        <v>8626</v>
      </c>
      <c r="H2366" s="465">
        <v>699.54503</v>
      </c>
      <c r="I2366" s="465">
        <v>26.878820000000001</v>
      </c>
      <c r="J2366" s="465">
        <v>133.63722000000001</v>
      </c>
      <c r="K2366" s="465">
        <v>12877.455260000001</v>
      </c>
      <c r="L2366" s="464" t="s">
        <v>537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dolný profil 4/18mm 3m  strieborný</v>
      </c>
      <c r="C2367" s="185">
        <f t="shared" si="73"/>
        <v>40.318219999999997</v>
      </c>
      <c r="D2367" s="409" t="s">
        <v>8627</v>
      </c>
      <c r="E2367" s="409" t="s">
        <v>8628</v>
      </c>
      <c r="F2367" s="409" t="s">
        <v>8629</v>
      </c>
      <c r="G2367" s="409" t="s">
        <v>8630</v>
      </c>
      <c r="H2367" s="465">
        <v>987.16800000000001</v>
      </c>
      <c r="I2367" s="465">
        <v>40.318219999999997</v>
      </c>
      <c r="J2367" s="465">
        <v>182.57570999999999</v>
      </c>
      <c r="K2367" s="465">
        <v>17116.219359999999</v>
      </c>
      <c r="L2367" s="464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S-sada kovania S60</v>
      </c>
      <c r="C2368" s="185">
        <f t="shared" si="73"/>
        <v>10.40662</v>
      </c>
      <c r="D2368" s="409" t="s">
        <v>8631</v>
      </c>
      <c r="E2368" s="409" t="s">
        <v>8632</v>
      </c>
      <c r="F2368" s="409" t="s">
        <v>8633</v>
      </c>
      <c r="G2368" s="409" t="s">
        <v>8634</v>
      </c>
      <c r="H2368" s="465">
        <v>254.8</v>
      </c>
      <c r="I2368" s="465">
        <v>10.40662</v>
      </c>
      <c r="J2368" s="465">
        <v>47.125010000000003</v>
      </c>
      <c r="K2368" s="465">
        <v>4403.1667900000002</v>
      </c>
      <c r="L2368" s="464" t="s">
        <v>540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SALU-S06N KRYCÍ PROFIL 2,5M ALU</v>
      </c>
      <c r="C2369" s="185">
        <f t="shared" si="73"/>
        <v>0</v>
      </c>
      <c r="D2369" s="409" t="s">
        <v>8635</v>
      </c>
      <c r="E2369" s="409" t="s">
        <v>8636</v>
      </c>
      <c r="F2369" s="409" t="s">
        <v>8637</v>
      </c>
      <c r="G2369" s="409" t="s">
        <v>8638</v>
      </c>
      <c r="H2369" s="465">
        <v>0</v>
      </c>
      <c r="I2369" s="465">
        <v>0</v>
      </c>
      <c r="J2369" s="465">
        <v>0</v>
      </c>
      <c r="K2369" s="465">
        <v>0</v>
      </c>
      <c r="L2369" s="464" t="s">
        <v>540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dolní profil 4/18mm 3,5m strieborný</v>
      </c>
      <c r="C2370" s="185">
        <f t="shared" si="73"/>
        <v>0</v>
      </c>
      <c r="D2370" s="409" t="s">
        <v>8639</v>
      </c>
      <c r="E2370" s="409" t="s">
        <v>8640</v>
      </c>
      <c r="F2370" s="409" t="s">
        <v>8641</v>
      </c>
      <c r="G2370" s="409" t="s">
        <v>8642</v>
      </c>
      <c r="H2370" s="465">
        <v>0</v>
      </c>
      <c r="I2370" s="465">
        <v>0</v>
      </c>
      <c r="J2370" s="465">
        <v>0</v>
      </c>
      <c r="K2370" s="465">
        <v>0</v>
      </c>
      <c r="L2370" s="464" t="s">
        <v>540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SALU06 NN-DOLNÝ VOD.PROFIL 3,5M ALU</v>
      </c>
      <c r="C2371" s="185">
        <f t="shared" si="73"/>
        <v>0</v>
      </c>
      <c r="D2371" s="409" t="s">
        <v>8643</v>
      </c>
      <c r="E2371" s="409" t="s">
        <v>8644</v>
      </c>
      <c r="F2371" s="409" t="s">
        <v>8645</v>
      </c>
      <c r="G2371" s="409" t="s">
        <v>8646</v>
      </c>
      <c r="H2371" s="465">
        <v>0</v>
      </c>
      <c r="I2371" s="465">
        <v>0</v>
      </c>
      <c r="J2371" s="465">
        <v>0</v>
      </c>
      <c r="K2371" s="465">
        <v>0</v>
      </c>
      <c r="L2371" s="464" t="s">
        <v>540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SALU-S06N KRYCÍ PROFIL 3,5M ALU</v>
      </c>
      <c r="C2372" s="185">
        <f t="shared" ref="C2372:C2435" si="75">IF($A$2=1,H2372,IF($A$2=2,I2372,IF($A$2=3,J2372,IF($A$2=4,K2372,IF($A$2&gt;4,O2372,"zadat jazyk")))))</f>
        <v>0</v>
      </c>
      <c r="D2372" s="409" t="s">
        <v>8101</v>
      </c>
      <c r="E2372" s="409" t="s">
        <v>8102</v>
      </c>
      <c r="F2372" s="409" t="s">
        <v>8647</v>
      </c>
      <c r="G2372" s="409" t="s">
        <v>8104</v>
      </c>
      <c r="H2372" s="465">
        <v>0</v>
      </c>
      <c r="I2372" s="465">
        <v>0</v>
      </c>
      <c r="J2372" s="465">
        <v>0</v>
      </c>
      <c r="K2372" s="465">
        <v>0</v>
      </c>
      <c r="L2372" s="464" t="s">
        <v>540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S-65 horný a stredný profil 3,5m strieborný</v>
      </c>
      <c r="C2373" s="185">
        <f t="shared" si="75"/>
        <v>0</v>
      </c>
      <c r="D2373" s="409" t="s">
        <v>8648</v>
      </c>
      <c r="E2373" s="409" t="s">
        <v>8649</v>
      </c>
      <c r="F2373" s="409" t="s">
        <v>8650</v>
      </c>
      <c r="G2373" s="409" t="s">
        <v>8651</v>
      </c>
      <c r="H2373" s="465">
        <v>0</v>
      </c>
      <c r="I2373" s="465">
        <v>0</v>
      </c>
      <c r="J2373" s="465">
        <v>0</v>
      </c>
      <c r="K2373" s="465">
        <v>0</v>
      </c>
      <c r="L2373" s="464" t="s">
        <v>540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S-S65-dolný profil 4/18mm 3,5m strieborný</v>
      </c>
      <c r="C2374" s="185">
        <f t="shared" si="75"/>
        <v>0</v>
      </c>
      <c r="D2374" s="409" t="s">
        <v>8652</v>
      </c>
      <c r="E2374" s="409" t="s">
        <v>8653</v>
      </c>
      <c r="F2374" s="409" t="s">
        <v>8654</v>
      </c>
      <c r="G2374" s="409" t="s">
        <v>8655</v>
      </c>
      <c r="H2374" s="465">
        <v>0</v>
      </c>
      <c r="I2374" s="465">
        <v>0</v>
      </c>
      <c r="J2374" s="465">
        <v>0</v>
      </c>
      <c r="K2374" s="465">
        <v>0</v>
      </c>
      <c r="L2374" s="464" t="s">
        <v>540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9" t="e">
        <v>#N/A</v>
      </c>
      <c r="E2375" s="409" t="e">
        <v>#N/A</v>
      </c>
      <c r="F2375" s="409" t="e">
        <v>#N/A</v>
      </c>
      <c r="G2375" s="409" t="e">
        <v>#N/A</v>
      </c>
      <c r="H2375" s="465" t="e">
        <v>#N/A</v>
      </c>
      <c r="I2375" s="465" t="e">
        <v>#N/A</v>
      </c>
      <c r="J2375" s="465" t="e">
        <v>#N/A</v>
      </c>
      <c r="K2375" s="465" t="e">
        <v>#N/A</v>
      </c>
      <c r="L2375" s="464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9" t="e">
        <v>#N/A</v>
      </c>
      <c r="E2376" s="409" t="e">
        <v>#N/A</v>
      </c>
      <c r="F2376" s="409" t="e">
        <v>#N/A</v>
      </c>
      <c r="G2376" s="409" t="e">
        <v>#N/A</v>
      </c>
      <c r="H2376" s="465" t="e">
        <v>#N/A</v>
      </c>
      <c r="I2376" s="465" t="e">
        <v>#N/A</v>
      </c>
      <c r="J2376" s="465" t="e">
        <v>#N/A</v>
      </c>
      <c r="K2376" s="465" t="e">
        <v>#N/A</v>
      </c>
      <c r="L2376" s="464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9" t="e">
        <v>#N/A</v>
      </c>
      <c r="E2377" s="409" t="e">
        <v>#N/A</v>
      </c>
      <c r="F2377" s="409" t="e">
        <v>#N/A</v>
      </c>
      <c r="G2377" s="409" t="e">
        <v>#N/A</v>
      </c>
      <c r="H2377" s="465" t="e">
        <v>#N/A</v>
      </c>
      <c r="I2377" s="465" t="e">
        <v>#N/A</v>
      </c>
      <c r="J2377" s="465" t="e">
        <v>#N/A</v>
      </c>
      <c r="K2377" s="465" t="e">
        <v>#N/A</v>
      </c>
      <c r="L2377" s="464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9" t="e">
        <v>#N/A</v>
      </c>
      <c r="E2378" s="409" t="e">
        <v>#N/A</v>
      </c>
      <c r="F2378" s="409" t="e">
        <v>#N/A</v>
      </c>
      <c r="G2378" s="409" t="e">
        <v>#N/A</v>
      </c>
      <c r="H2378" s="465" t="e">
        <v>#N/A</v>
      </c>
      <c r="I2378" s="465" t="e">
        <v>#N/A</v>
      </c>
      <c r="J2378" s="465" t="e">
        <v>#N/A</v>
      </c>
      <c r="K2378" s="465" t="e">
        <v>#N/A</v>
      </c>
      <c r="L2378" s="464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9" t="e">
        <v>#N/A</v>
      </c>
      <c r="E2379" s="409" t="e">
        <v>#N/A</v>
      </c>
      <c r="F2379" s="409" t="e">
        <v>#N/A</v>
      </c>
      <c r="G2379" s="409" t="e">
        <v>#N/A</v>
      </c>
      <c r="H2379" s="465" t="e">
        <v>#N/A</v>
      </c>
      <c r="I2379" s="465" t="e">
        <v>#N/A</v>
      </c>
      <c r="J2379" s="465" t="e">
        <v>#N/A</v>
      </c>
      <c r="K2379" s="465" t="e">
        <v>#N/A</v>
      </c>
      <c r="L2379" s="464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9" t="e">
        <v>#N/A</v>
      </c>
      <c r="E2380" s="409" t="e">
        <v>#N/A</v>
      </c>
      <c r="F2380" s="409" t="e">
        <v>#N/A</v>
      </c>
      <c r="G2380" s="409" t="e">
        <v>#N/A</v>
      </c>
      <c r="H2380" s="465" t="e">
        <v>#N/A</v>
      </c>
      <c r="I2380" s="465" t="e">
        <v>#N/A</v>
      </c>
      <c r="J2380" s="465" t="e">
        <v>#N/A</v>
      </c>
      <c r="K2380" s="465" t="e">
        <v>#N/A</v>
      </c>
      <c r="L2380" s="464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sada 3 kr.,max.21mm,50kg</v>
      </c>
      <c r="C2381" s="185">
        <f t="shared" si="75"/>
        <v>14.155200000000001</v>
      </c>
      <c r="D2381" s="409" t="s">
        <v>8656</v>
      </c>
      <c r="E2381" s="409" t="s">
        <v>8657</v>
      </c>
      <c r="F2381" s="409" t="s">
        <v>8658</v>
      </c>
      <c r="G2381" s="409" t="s">
        <v>8659</v>
      </c>
      <c r="H2381" s="465">
        <v>320.05777</v>
      </c>
      <c r="I2381" s="465">
        <v>14.155200000000001</v>
      </c>
      <c r="J2381" s="465">
        <v>76.023960000000002</v>
      </c>
      <c r="K2381" s="465">
        <v>5000.9026800000001</v>
      </c>
      <c r="L2381" s="464" t="s">
        <v>540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sada 3 kr.,max.28mm,50kg</v>
      </c>
      <c r="C2382" s="185">
        <f t="shared" si="75"/>
        <v>9.8624700000000001</v>
      </c>
      <c r="D2382" s="409" t="s">
        <v>8660</v>
      </c>
      <c r="E2382" s="409" t="s">
        <v>8661</v>
      </c>
      <c r="F2382" s="409" t="s">
        <v>8662</v>
      </c>
      <c r="G2382" s="409" t="s">
        <v>8663</v>
      </c>
      <c r="H2382" s="465">
        <v>222.99659</v>
      </c>
      <c r="I2382" s="465">
        <v>9.8624700000000001</v>
      </c>
      <c r="J2382" s="465">
        <v>77.249030000000005</v>
      </c>
      <c r="K2382" s="465">
        <v>3484.32168</v>
      </c>
      <c r="L2382" s="464" t="s">
        <v>540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sada 2 tlmičov 40 Nm</v>
      </c>
      <c r="C2383" s="185">
        <f t="shared" si="75"/>
        <v>9.6823399999999999</v>
      </c>
      <c r="D2383" s="409" t="s">
        <v>8664</v>
      </c>
      <c r="E2383" s="409" t="s">
        <v>8665</v>
      </c>
      <c r="F2383" s="409" t="s">
        <v>8666</v>
      </c>
      <c r="G2383" s="409" t="s">
        <v>8667</v>
      </c>
      <c r="H2383" s="465">
        <v>218.92383000000001</v>
      </c>
      <c r="I2383" s="465">
        <v>9.6823399999999999</v>
      </c>
      <c r="J2383" s="465">
        <v>52.00141</v>
      </c>
      <c r="K2383" s="465">
        <v>3420.68478</v>
      </c>
      <c r="L2383" s="464" t="s">
        <v>540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9" t="e">
        <v>#N/A</v>
      </c>
      <c r="E2384" s="409" t="e">
        <v>#N/A</v>
      </c>
      <c r="F2384" s="409" t="e">
        <v>#N/A</v>
      </c>
      <c r="G2384" s="409" t="e">
        <v>#N/A</v>
      </c>
      <c r="H2384" s="465" t="e">
        <v>#N/A</v>
      </c>
      <c r="I2384" s="465" t="e">
        <v>#N/A</v>
      </c>
      <c r="J2384" s="465" t="e">
        <v>#N/A</v>
      </c>
      <c r="K2384" s="465" t="e">
        <v>#N/A</v>
      </c>
      <c r="L2384" s="464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9" t="e">
        <v>#N/A</v>
      </c>
      <c r="E2385" s="409" t="e">
        <v>#N/A</v>
      </c>
      <c r="F2385" s="409" t="e">
        <v>#N/A</v>
      </c>
      <c r="G2385" s="409" t="e">
        <v>#N/A</v>
      </c>
      <c r="H2385" s="465" t="e">
        <v>#N/A</v>
      </c>
      <c r="I2385" s="465" t="e">
        <v>#N/A</v>
      </c>
      <c r="J2385" s="465" t="e">
        <v>#N/A</v>
      </c>
      <c r="K2385" s="465" t="e">
        <v>#N/A</v>
      </c>
      <c r="L2385" s="464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horné vedenie alu elox 3 m</v>
      </c>
      <c r="C2386" s="185">
        <f t="shared" si="75"/>
        <v>16.25855</v>
      </c>
      <c r="D2386" s="409" t="s">
        <v>8668</v>
      </c>
      <c r="E2386" s="409" t="s">
        <v>8669</v>
      </c>
      <c r="F2386" s="409" t="s">
        <v>8670</v>
      </c>
      <c r="G2386" s="409" t="s">
        <v>8671</v>
      </c>
      <c r="H2386" s="465">
        <v>367.61601999999999</v>
      </c>
      <c r="I2386" s="465">
        <v>16.25855</v>
      </c>
      <c r="J2386" s="465">
        <v>87.320570000000004</v>
      </c>
      <c r="K2386" s="465">
        <v>5744.0002800000002</v>
      </c>
      <c r="L2386" s="464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spodné vedenie alu elox 3 m</v>
      </c>
      <c r="C2387" s="185">
        <f t="shared" si="75"/>
        <v>9.8624700000000001</v>
      </c>
      <c r="D2387" s="409" t="s">
        <v>8672</v>
      </c>
      <c r="E2387" s="409" t="s">
        <v>8673</v>
      </c>
      <c r="F2387" s="409" t="s">
        <v>8674</v>
      </c>
      <c r="G2387" s="409" t="s">
        <v>8675</v>
      </c>
      <c r="H2387" s="465">
        <v>222.99659</v>
      </c>
      <c r="I2387" s="465">
        <v>9.8624700000000001</v>
      </c>
      <c r="J2387" s="465">
        <v>52.968829999999997</v>
      </c>
      <c r="K2387" s="465">
        <v>3484.32168</v>
      </c>
      <c r="L2387" s="464" t="s">
        <v>540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9" t="e">
        <v>#N/A</v>
      </c>
      <c r="E2388" s="409" t="e">
        <v>#N/A</v>
      </c>
      <c r="F2388" s="409" t="e">
        <v>#N/A</v>
      </c>
      <c r="G2388" s="409" t="e">
        <v>#N/A</v>
      </c>
      <c r="H2388" s="465" t="e">
        <v>#N/A</v>
      </c>
      <c r="I2388" s="465" t="e">
        <v>#N/A</v>
      </c>
      <c r="J2388" s="465" t="e">
        <v>#N/A</v>
      </c>
      <c r="K2388" s="465" t="e">
        <v>#N/A</v>
      </c>
      <c r="L2388" s="464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9" t="e">
        <v>#N/A</v>
      </c>
      <c r="E2389" s="409" t="e">
        <v>#N/A</v>
      </c>
      <c r="F2389" s="409" t="e">
        <v>#N/A</v>
      </c>
      <c r="G2389" s="409" t="e">
        <v>#N/A</v>
      </c>
      <c r="H2389" s="465" t="e">
        <v>#N/A</v>
      </c>
      <c r="I2389" s="465" t="e">
        <v>#N/A</v>
      </c>
      <c r="J2389" s="465" t="e">
        <v>#N/A</v>
      </c>
      <c r="K2389" s="465" t="e">
        <v>#N/A</v>
      </c>
      <c r="L2389" s="464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9" t="e">
        <v>#N/A</v>
      </c>
      <c r="E2390" s="409" t="e">
        <v>#N/A</v>
      </c>
      <c r="F2390" s="409" t="e">
        <v>#N/A</v>
      </c>
      <c r="G2390" s="409" t="e">
        <v>#N/A</v>
      </c>
      <c r="H2390" s="465" t="e">
        <v>#N/A</v>
      </c>
      <c r="I2390" s="465" t="e">
        <v>#N/A</v>
      </c>
      <c r="J2390" s="465" t="e">
        <v>#N/A</v>
      </c>
      <c r="K2390" s="465" t="e">
        <v>#N/A</v>
      </c>
      <c r="L2390" s="464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IC-lišta Standard 10mm wenge 2,75m</v>
      </c>
      <c r="C2391" s="185">
        <f t="shared" si="75"/>
        <v>4.54298</v>
      </c>
      <c r="D2391" s="409" t="s">
        <v>8676</v>
      </c>
      <c r="E2391" s="409" t="s">
        <v>8677</v>
      </c>
      <c r="F2391" s="409" t="s">
        <v>8676</v>
      </c>
      <c r="G2391" s="409" t="s">
        <v>8678</v>
      </c>
      <c r="H2391" s="465">
        <v>116.72499999999999</v>
      </c>
      <c r="I2391" s="465">
        <v>4.54298</v>
      </c>
      <c r="J2391" s="465">
        <v>25.052060000000001</v>
      </c>
      <c r="K2391" s="465">
        <v>0</v>
      </c>
      <c r="L2391" s="464" t="s">
        <v>537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IC-horné vedenie WE 10mm wenge 2m</v>
      </c>
      <c r="C2392" s="185">
        <f t="shared" si="75"/>
        <v>17.31373</v>
      </c>
      <c r="D2392" s="409" t="s">
        <v>8679</v>
      </c>
      <c r="E2392" s="409" t="s">
        <v>8680</v>
      </c>
      <c r="F2392" s="409" t="s">
        <v>8681</v>
      </c>
      <c r="G2392" s="409" t="s">
        <v>8682</v>
      </c>
      <c r="H2392" s="465">
        <v>444.85</v>
      </c>
      <c r="I2392" s="465">
        <v>17.31373</v>
      </c>
      <c r="J2392" s="465">
        <v>95.475800000000007</v>
      </c>
      <c r="K2392" s="465">
        <v>0</v>
      </c>
      <c r="L2392" s="464" t="s">
        <v>537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IC-spodné vedenie wenge 2m</v>
      </c>
      <c r="C2393" s="185">
        <f t="shared" si="75"/>
        <v>6.6101400000000003</v>
      </c>
      <c r="D2393" s="409" t="s">
        <v>8683</v>
      </c>
      <c r="E2393" s="409" t="s">
        <v>8684</v>
      </c>
      <c r="F2393" s="409" t="s">
        <v>8685</v>
      </c>
      <c r="G2393" s="409" t="s">
        <v>8686</v>
      </c>
      <c r="H2393" s="465">
        <v>169.83750000000001</v>
      </c>
      <c r="I2393" s="465">
        <v>6.6101400000000003</v>
      </c>
      <c r="J2393" s="465">
        <v>36.451320000000003</v>
      </c>
      <c r="K2393" s="465">
        <v>0</v>
      </c>
      <c r="L2393" s="464" t="s">
        <v>537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vodorovná lišta wenge 2,4m</v>
      </c>
      <c r="C2394" s="185">
        <f t="shared" si="75"/>
        <v>3.9708600000000001</v>
      </c>
      <c r="D2394" s="409" t="s">
        <v>8687</v>
      </c>
      <c r="E2394" s="409" t="s">
        <v>8688</v>
      </c>
      <c r="F2394" s="409" t="s">
        <v>8687</v>
      </c>
      <c r="G2394" s="409" t="s">
        <v>8689</v>
      </c>
      <c r="H2394" s="465">
        <v>102.02500000000001</v>
      </c>
      <c r="I2394" s="465">
        <v>3.9708600000000001</v>
      </c>
      <c r="J2394" s="465">
        <v>21.897079999999999</v>
      </c>
      <c r="K2394" s="465">
        <v>0</v>
      </c>
      <c r="L2394" s="464" t="s">
        <v>537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IC-krycia lišta 14mm 3,6m anodovaný šampáň</v>
      </c>
      <c r="C2395" s="185">
        <f t="shared" si="75"/>
        <v>3.9163600000000001</v>
      </c>
      <c r="D2395" s="409" t="s">
        <v>8690</v>
      </c>
      <c r="E2395" s="409" t="s">
        <v>8691</v>
      </c>
      <c r="F2395" s="409" t="s">
        <v>8692</v>
      </c>
      <c r="G2395" s="409" t="s">
        <v>8693</v>
      </c>
      <c r="H2395" s="465">
        <v>100.625</v>
      </c>
      <c r="I2395" s="465">
        <v>3.9163600000000001</v>
      </c>
      <c r="J2395" s="465">
        <v>21.596620000000001</v>
      </c>
      <c r="K2395" s="465">
        <v>0</v>
      </c>
      <c r="L2395" s="464" t="s">
        <v>537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IC-deliaci profil WE wenge 2,75m</v>
      </c>
      <c r="C2396" s="185">
        <f t="shared" si="75"/>
        <v>7.2231399999999999</v>
      </c>
      <c r="D2396" s="409" t="s">
        <v>8694</v>
      </c>
      <c r="E2396" s="409" t="s">
        <v>8695</v>
      </c>
      <c r="F2396" s="409" t="s">
        <v>8696</v>
      </c>
      <c r="G2396" s="409" t="s">
        <v>8697</v>
      </c>
      <c r="H2396" s="465">
        <v>185.58750000000001</v>
      </c>
      <c r="I2396" s="465">
        <v>7.2231399999999999</v>
      </c>
      <c r="J2396" s="465">
        <v>39.831659999999999</v>
      </c>
      <c r="K2396" s="465">
        <v>0</v>
      </c>
      <c r="L2396" s="464" t="s">
        <v>537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9" t="e">
        <v>#N/A</v>
      </c>
      <c r="E2397" s="409" t="e">
        <v>#N/A</v>
      </c>
      <c r="F2397" s="409" t="e">
        <v>#N/A</v>
      </c>
      <c r="G2397" s="409" t="e">
        <v>#N/A</v>
      </c>
      <c r="H2397" s="465" t="e">
        <v>#N/A</v>
      </c>
      <c r="I2397" s="465" t="e">
        <v>#N/A</v>
      </c>
      <c r="J2397" s="465" t="e">
        <v>#N/A</v>
      </c>
      <c r="K2397" s="465" t="e">
        <v>#N/A</v>
      </c>
      <c r="L2397" s="464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 S 1200-1799mm sada kovanie + vedenia</v>
      </c>
      <c r="C2398" s="185">
        <f t="shared" si="75"/>
        <v>1186.66218</v>
      </c>
      <c r="D2398" s="409" t="s">
        <v>8698</v>
      </c>
      <c r="E2398" s="409" t="s">
        <v>8699</v>
      </c>
      <c r="F2398" s="409" t="s">
        <v>8700</v>
      </c>
      <c r="G2398" s="409" t="s">
        <v>8701</v>
      </c>
      <c r="H2398" s="465">
        <v>32567.605179999999</v>
      </c>
      <c r="I2398" s="465">
        <v>1186.66218</v>
      </c>
      <c r="J2398" s="465">
        <v>4843.1929200000004</v>
      </c>
      <c r="K2398" s="465">
        <v>540183.06091</v>
      </c>
      <c r="L2398" s="464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 M 1800-2199mm sada kovanie + vedenia</v>
      </c>
      <c r="C2399" s="185">
        <f t="shared" si="75"/>
        <v>1243.6415199999999</v>
      </c>
      <c r="D2399" s="409" t="s">
        <v>8702</v>
      </c>
      <c r="E2399" s="409" t="s">
        <v>8703</v>
      </c>
      <c r="F2399" s="409" t="s">
        <v>8704</v>
      </c>
      <c r="G2399" s="409" t="s">
        <v>8705</v>
      </c>
      <c r="H2399" s="465">
        <v>34131.387150000002</v>
      </c>
      <c r="I2399" s="465">
        <v>1243.6415199999999</v>
      </c>
      <c r="J2399" s="465">
        <v>5075.7460199999996</v>
      </c>
      <c r="K2399" s="465">
        <v>571924.43044000003</v>
      </c>
      <c r="L2399" s="464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 L 2200-2400mm sada kovanie + vedenia</v>
      </c>
      <c r="C2400" s="185">
        <f t="shared" si="75"/>
        <v>1272.62032</v>
      </c>
      <c r="D2400" s="409" t="s">
        <v>8706</v>
      </c>
      <c r="E2400" s="409" t="s">
        <v>8707</v>
      </c>
      <c r="F2400" s="409" t="s">
        <v>8708</v>
      </c>
      <c r="G2400" s="409" t="s">
        <v>8709</v>
      </c>
      <c r="H2400" s="465">
        <v>34926.701150000001</v>
      </c>
      <c r="I2400" s="465">
        <v>1272.62032</v>
      </c>
      <c r="J2400" s="465">
        <v>5194.01872</v>
      </c>
      <c r="K2400" s="465">
        <v>561912.88303999999</v>
      </c>
      <c r="L2400" s="464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S-S20/30 alu lišta dvojitá 6m elox</v>
      </c>
      <c r="C2401" s="185">
        <f t="shared" si="75"/>
        <v>82.688029999999998</v>
      </c>
      <c r="D2401" s="409" t="s">
        <v>8710</v>
      </c>
      <c r="E2401" s="409" t="s">
        <v>8711</v>
      </c>
      <c r="F2401" s="409" t="s">
        <v>8710</v>
      </c>
      <c r="G2401" s="409" t="s">
        <v>8712</v>
      </c>
      <c r="H2401" s="465">
        <v>2024.568</v>
      </c>
      <c r="I2401" s="465">
        <v>82.688029999999998</v>
      </c>
      <c r="J2401" s="465">
        <v>374.44179000000003</v>
      </c>
      <c r="K2401" s="465">
        <v>35103.396769999999</v>
      </c>
      <c r="L2401" s="464" t="s">
        <v>537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Držiak tyče</v>
      </c>
      <c r="C2402" s="185">
        <f t="shared" si="75"/>
        <v>2.49817</v>
      </c>
      <c r="D2402" s="409" t="s">
        <v>1702</v>
      </c>
      <c r="E2402" s="409" t="s">
        <v>2134</v>
      </c>
      <c r="F2402" s="409" t="s">
        <v>6131</v>
      </c>
      <c r="G2402" s="409" t="s">
        <v>2610</v>
      </c>
      <c r="H2402" s="465">
        <v>69.479820000000004</v>
      </c>
      <c r="I2402" s="465">
        <v>2.49817</v>
      </c>
      <c r="J2402" s="465">
        <v>8.5905699999999996</v>
      </c>
      <c r="K2402" s="465">
        <v>995.67850999999996</v>
      </c>
      <c r="L2402" s="464" t="s">
        <v>539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nosník 2108mm strieborný</v>
      </c>
      <c r="C2403" s="185">
        <f t="shared" si="75"/>
        <v>16.290150000000001</v>
      </c>
      <c r="D2403" s="409" t="s">
        <v>1703</v>
      </c>
      <c r="E2403" s="409" t="s">
        <v>2135</v>
      </c>
      <c r="F2403" s="409" t="s">
        <v>6132</v>
      </c>
      <c r="G2403" s="409" t="s">
        <v>6133</v>
      </c>
      <c r="H2403" s="465">
        <v>453.06625000000003</v>
      </c>
      <c r="I2403" s="465">
        <v>16.290150000000001</v>
      </c>
      <c r="J2403" s="465">
        <v>56.017679999999999</v>
      </c>
      <c r="K2403" s="465">
        <v>6492.6527699999997</v>
      </c>
      <c r="L2403" s="464" t="s">
        <v>539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konzola 300mm strieborná</v>
      </c>
      <c r="C2404" s="185">
        <f t="shared" si="75"/>
        <v>3.9294099999999998</v>
      </c>
      <c r="D2404" s="409" t="s">
        <v>1704</v>
      </c>
      <c r="E2404" s="409" t="s">
        <v>2136</v>
      </c>
      <c r="F2404" s="409" t="s">
        <v>6134</v>
      </c>
      <c r="G2404" s="409" t="s">
        <v>2611</v>
      </c>
      <c r="H2404" s="465">
        <v>109.28594</v>
      </c>
      <c r="I2404" s="465">
        <v>3.9294099999999998</v>
      </c>
      <c r="J2404" s="465">
        <v>13.51225</v>
      </c>
      <c r="K2404" s="465">
        <v>1566.11904</v>
      </c>
      <c r="L2404" s="464" t="s">
        <v>539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konzola 500mm strieborná</v>
      </c>
      <c r="C2405" s="185">
        <f t="shared" si="75"/>
        <v>6.4015599999999999</v>
      </c>
      <c r="D2405" s="409" t="s">
        <v>1705</v>
      </c>
      <c r="E2405" s="409" t="s">
        <v>2137</v>
      </c>
      <c r="F2405" s="409" t="s">
        <v>6135</v>
      </c>
      <c r="G2405" s="409" t="s">
        <v>2612</v>
      </c>
      <c r="H2405" s="465">
        <v>178.04201</v>
      </c>
      <c r="I2405" s="465">
        <v>6.4015599999999999</v>
      </c>
      <c r="J2405" s="465">
        <v>22.013339999999999</v>
      </c>
      <c r="K2405" s="465">
        <v>2551.4259499999998</v>
      </c>
      <c r="L2405" s="464" t="s">
        <v>539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tyč priemer 25mm 1,2m strieborná</v>
      </c>
      <c r="C2406" s="185">
        <f t="shared" si="75"/>
        <v>7.0781499999999999</v>
      </c>
      <c r="D2406" s="409" t="s">
        <v>1706</v>
      </c>
      <c r="E2406" s="409" t="s">
        <v>2138</v>
      </c>
      <c r="F2406" s="409" t="s">
        <v>6136</v>
      </c>
      <c r="G2406" s="409" t="s">
        <v>2613</v>
      </c>
      <c r="H2406" s="465">
        <v>196.85945000000001</v>
      </c>
      <c r="I2406" s="465">
        <v>7.0781499999999999</v>
      </c>
      <c r="J2406" s="465">
        <v>24.339950000000002</v>
      </c>
      <c r="K2406" s="465">
        <v>2821.0885899999998</v>
      </c>
      <c r="L2406" s="464" t="s">
        <v>539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montažný klip silver</v>
      </c>
      <c r="C2407" s="185">
        <f t="shared" si="75"/>
        <v>0.44238</v>
      </c>
      <c r="D2407" s="409" t="s">
        <v>1707</v>
      </c>
      <c r="E2407" s="409" t="s">
        <v>2139</v>
      </c>
      <c r="F2407" s="409" t="s">
        <v>6137</v>
      </c>
      <c r="G2407" s="409" t="s">
        <v>6138</v>
      </c>
      <c r="H2407" s="465">
        <v>12.30372</v>
      </c>
      <c r="I2407" s="465">
        <v>0.44238</v>
      </c>
      <c r="J2407" s="465">
        <v>1.52125</v>
      </c>
      <c r="K2407" s="465">
        <v>176.31816000000001</v>
      </c>
      <c r="L2407" s="464" t="s">
        <v>539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záslepka tyče</v>
      </c>
      <c r="C2408" s="185">
        <f t="shared" si="75"/>
        <v>1.1970400000000001</v>
      </c>
      <c r="D2408" s="409" t="s">
        <v>1708</v>
      </c>
      <c r="E2408" s="409" t="s">
        <v>2140</v>
      </c>
      <c r="F2408" s="409" t="s">
        <v>1708</v>
      </c>
      <c r="G2408" s="409" t="s">
        <v>2614</v>
      </c>
      <c r="H2408" s="465">
        <v>35.328290000000003</v>
      </c>
      <c r="I2408" s="465">
        <v>1.1970400000000001</v>
      </c>
      <c r="J2408" s="465">
        <v>4.0144000000000002</v>
      </c>
      <c r="K2408" s="465">
        <v>490.61698000000001</v>
      </c>
      <c r="L2408" s="464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krycí profil alu 2m</v>
      </c>
      <c r="C2409" s="185">
        <f t="shared" si="75"/>
        <v>0</v>
      </c>
      <c r="D2409" s="409" t="s">
        <v>8097</v>
      </c>
      <c r="E2409" s="409" t="s">
        <v>8098</v>
      </c>
      <c r="F2409" s="409" t="s">
        <v>8713</v>
      </c>
      <c r="G2409" s="409" t="s">
        <v>8100</v>
      </c>
      <c r="H2409" s="465">
        <v>0</v>
      </c>
      <c r="I2409" s="465">
        <v>0</v>
      </c>
      <c r="J2409" s="465">
        <v>0</v>
      </c>
      <c r="K2409" s="465">
        <v>0</v>
      </c>
      <c r="L2409" s="464" t="s">
        <v>540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9" t="e">
        <v>#N/A</v>
      </c>
      <c r="E2410" s="409" t="e">
        <v>#N/A</v>
      </c>
      <c r="F2410" s="409" t="e">
        <v>#N/A</v>
      </c>
      <c r="G2410" s="409" t="e">
        <v>#N/A</v>
      </c>
      <c r="H2410" s="465" t="e">
        <v>#N/A</v>
      </c>
      <c r="I2410" s="465" t="e">
        <v>#N/A</v>
      </c>
      <c r="J2410" s="465" t="e">
        <v>#N/A</v>
      </c>
      <c r="K2410" s="465" t="e">
        <v>#N/A</v>
      </c>
      <c r="L2410" s="464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IC-úchytová lišta Standard 2,75m 4mm arktik strieborný</v>
      </c>
      <c r="C2411" s="185">
        <f t="shared" si="75"/>
        <v>5.3864200000000002</v>
      </c>
      <c r="D2411" s="409" t="s">
        <v>8714</v>
      </c>
      <c r="E2411" s="409" t="s">
        <v>8715</v>
      </c>
      <c r="F2411" s="409" t="s">
        <v>8716</v>
      </c>
      <c r="G2411" s="409" t="s">
        <v>8717</v>
      </c>
      <c r="H2411" s="465">
        <v>120.5844</v>
      </c>
      <c r="I2411" s="465">
        <v>5.3864200000000002</v>
      </c>
      <c r="J2411" s="465">
        <v>23.60604</v>
      </c>
      <c r="K2411" s="465">
        <v>0</v>
      </c>
      <c r="L2411" s="464" t="s">
        <v>537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IC-sada vozíkov Standard/Classic 1 krídl</v>
      </c>
      <c r="C2412" s="185">
        <f t="shared" si="75"/>
        <v>10.22086</v>
      </c>
      <c r="D2412" s="409" t="s">
        <v>8718</v>
      </c>
      <c r="E2412" s="409" t="s">
        <v>8719</v>
      </c>
      <c r="F2412" s="409" t="s">
        <v>8720</v>
      </c>
      <c r="G2412" s="409" t="s">
        <v>8721</v>
      </c>
      <c r="H2412" s="465">
        <v>261.625</v>
      </c>
      <c r="I2412" s="465">
        <v>10.22086</v>
      </c>
      <c r="J2412" s="465">
        <v>60.787520000000001</v>
      </c>
      <c r="K2412" s="465">
        <v>5366.4881999999998</v>
      </c>
      <c r="L2412" s="464" t="s">
        <v>539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9" t="e">
        <v>#N/A</v>
      </c>
      <c r="E2413" s="409" t="e">
        <v>#N/A</v>
      </c>
      <c r="F2413" s="409" t="e">
        <v>#N/A</v>
      </c>
      <c r="G2413" s="409" t="e">
        <v>#N/A</v>
      </c>
      <c r="H2413" s="465" t="e">
        <v>#N/A</v>
      </c>
      <c r="I2413" s="465" t="e">
        <v>#N/A</v>
      </c>
      <c r="J2413" s="465" t="e">
        <v>#N/A</v>
      </c>
      <c r="K2413" s="465" t="e">
        <v>#N/A</v>
      </c>
      <c r="L2413" s="464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horný vodiaci profil 1,5m strieborný</v>
      </c>
      <c r="C2414" s="185">
        <f t="shared" si="75"/>
        <v>0</v>
      </c>
      <c r="D2414" s="409" t="s">
        <v>8722</v>
      </c>
      <c r="E2414" s="409" t="s">
        <v>8723</v>
      </c>
      <c r="F2414" s="409" t="s">
        <v>8724</v>
      </c>
      <c r="G2414" s="409" t="s">
        <v>8725</v>
      </c>
      <c r="H2414" s="465">
        <v>0</v>
      </c>
      <c r="I2414" s="465">
        <v>0</v>
      </c>
      <c r="J2414" s="465">
        <v>0</v>
      </c>
      <c r="K2414" s="465">
        <v>0</v>
      </c>
      <c r="L2414" s="464" t="s">
        <v>540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spodný profil 1,5m elox strieborný</v>
      </c>
      <c r="C2415" s="185">
        <f t="shared" si="75"/>
        <v>0</v>
      </c>
      <c r="D2415" s="409" t="s">
        <v>8726</v>
      </c>
      <c r="E2415" s="409" t="s">
        <v>8727</v>
      </c>
      <c r="F2415" s="409" t="s">
        <v>8728</v>
      </c>
      <c r="G2415" s="409" t="s">
        <v>8729</v>
      </c>
      <c r="H2415" s="465">
        <v>0</v>
      </c>
      <c r="I2415" s="465">
        <v>0</v>
      </c>
      <c r="J2415" s="465">
        <v>0</v>
      </c>
      <c r="K2415" s="465">
        <v>0</v>
      </c>
      <c r="L2415" s="464" t="s">
        <v>540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krycí profil (maska) 1,5m strieborný</v>
      </c>
      <c r="C2416" s="185">
        <f t="shared" si="75"/>
        <v>0</v>
      </c>
      <c r="D2416" s="409" t="s">
        <v>8730</v>
      </c>
      <c r="E2416" s="409" t="s">
        <v>8731</v>
      </c>
      <c r="F2416" s="409" t="s">
        <v>8732</v>
      </c>
      <c r="G2416" s="409" t="s">
        <v>8733</v>
      </c>
      <c r="H2416" s="465">
        <v>0</v>
      </c>
      <c r="I2416" s="465">
        <v>0</v>
      </c>
      <c r="J2416" s="465">
        <v>0</v>
      </c>
      <c r="K2416" s="465">
        <v>0</v>
      </c>
      <c r="L2416" s="464" t="s">
        <v>540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horný a stredný profil 2,5m strieborný</v>
      </c>
      <c r="C2417" s="185">
        <f t="shared" si="75"/>
        <v>0</v>
      </c>
      <c r="D2417" s="409" t="s">
        <v>8734</v>
      </c>
      <c r="E2417" s="409" t="s">
        <v>8735</v>
      </c>
      <c r="F2417" s="409" t="s">
        <v>8736</v>
      </c>
      <c r="G2417" s="409" t="s">
        <v>8737</v>
      </c>
      <c r="H2417" s="465">
        <v>0</v>
      </c>
      <c r="I2417" s="465">
        <v>0</v>
      </c>
      <c r="J2417" s="465">
        <v>0</v>
      </c>
      <c r="K2417" s="465">
        <v>0</v>
      </c>
      <c r="L2417" s="464" t="s">
        <v>540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dolný profil 4/18mm 2,5m strieborný</v>
      </c>
      <c r="C2418" s="185">
        <f t="shared" si="75"/>
        <v>0</v>
      </c>
      <c r="D2418" s="409" t="s">
        <v>8738</v>
      </c>
      <c r="E2418" s="409" t="s">
        <v>8739</v>
      </c>
      <c r="F2418" s="409" t="s">
        <v>8740</v>
      </c>
      <c r="G2418" s="409" t="s">
        <v>8741</v>
      </c>
      <c r="H2418" s="465">
        <v>0</v>
      </c>
      <c r="I2418" s="465">
        <v>0</v>
      </c>
      <c r="J2418" s="465">
        <v>0</v>
      </c>
      <c r="K2418" s="465">
        <v>0</v>
      </c>
      <c r="L2418" s="464" t="s">
        <v>540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9" t="e">
        <v>#N/A</v>
      </c>
      <c r="E2419" s="409" t="e">
        <v>#N/A</v>
      </c>
      <c r="F2419" s="409" t="e">
        <v>#N/A</v>
      </c>
      <c r="G2419" s="409" t="e">
        <v>#N/A</v>
      </c>
      <c r="H2419" s="465" t="e">
        <v>#N/A</v>
      </c>
      <c r="I2419" s="465" t="e">
        <v>#N/A</v>
      </c>
      <c r="J2419" s="465" t="e">
        <v>#N/A</v>
      </c>
      <c r="K2419" s="465" t="e">
        <v>#N/A</v>
      </c>
      <c r="L2419" s="464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PROFIL ALU S30 DVOJITÝ SUROVÝ 3M</v>
      </c>
      <c r="C2420" s="185">
        <f t="shared" si="75"/>
        <v>0</v>
      </c>
      <c r="D2420" s="409" t="s">
        <v>8742</v>
      </c>
      <c r="E2420" s="409" t="s">
        <v>8743</v>
      </c>
      <c r="F2420" s="409" t="s">
        <v>8744</v>
      </c>
      <c r="G2420" s="409" t="s">
        <v>8745</v>
      </c>
      <c r="H2420" s="465">
        <v>0</v>
      </c>
      <c r="I2420" s="465">
        <v>0</v>
      </c>
      <c r="J2420" s="465">
        <v>0</v>
      </c>
      <c r="K2420" s="465">
        <v>0</v>
      </c>
      <c r="L2420" s="464" t="s">
        <v>540</v>
      </c>
      <c r="O2420">
        <v>0</v>
      </c>
      <c r="P2420" t="s">
        <v>10303</v>
      </c>
    </row>
    <row r="2421" spans="1:16" ht="14.4" x14ac:dyDescent="0.3">
      <c r="A2421">
        <v>203925</v>
      </c>
      <c r="B2421" t="str">
        <f t="shared" si="74"/>
        <v>SEVROLL Wilson A - kompletná sada políc</v>
      </c>
      <c r="C2421" s="185" t="e">
        <f t="shared" si="75"/>
        <v>#N/A</v>
      </c>
      <c r="D2421" s="409" t="s">
        <v>1709</v>
      </c>
      <c r="E2421" s="409" t="s">
        <v>2141</v>
      </c>
      <c r="F2421" s="409" t="s">
        <v>2304</v>
      </c>
      <c r="G2421" s="409" t="s">
        <v>2615</v>
      </c>
      <c r="H2421" s="465" t="e">
        <v>#N/A</v>
      </c>
      <c r="I2421" s="465" t="e">
        <v>#N/A</v>
      </c>
      <c r="J2421" s="465" t="e">
        <v>#N/A</v>
      </c>
      <c r="K2421" s="465" t="e">
        <v>#N/A</v>
      </c>
      <c r="L2421" s="464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str">
        <f t="shared" si="74"/>
        <v>SEVROLL Wilson B - kompletná sada políc</v>
      </c>
      <c r="C2422" s="185" t="e">
        <f t="shared" si="75"/>
        <v>#N/A</v>
      </c>
      <c r="D2422" s="409" t="s">
        <v>1710</v>
      </c>
      <c r="E2422" s="409" t="s">
        <v>2142</v>
      </c>
      <c r="F2422" s="409" t="s">
        <v>2305</v>
      </c>
      <c r="G2422" s="409" t="s">
        <v>2616</v>
      </c>
      <c r="H2422" s="465" t="e">
        <v>#N/A</v>
      </c>
      <c r="I2422" s="465" t="e">
        <v>#N/A</v>
      </c>
      <c r="J2422" s="465" t="e">
        <v>#N/A</v>
      </c>
      <c r="K2422" s="465" t="e">
        <v>#N/A</v>
      </c>
      <c r="L2422" s="464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str">
        <f t="shared" si="74"/>
        <v>SEVROLL Wilson C - kompletná sada políc</v>
      </c>
      <c r="C2423" s="185" t="e">
        <f t="shared" si="75"/>
        <v>#N/A</v>
      </c>
      <c r="D2423" s="409" t="s">
        <v>1711</v>
      </c>
      <c r="E2423" s="409" t="s">
        <v>2143</v>
      </c>
      <c r="F2423" s="409" t="s">
        <v>2306</v>
      </c>
      <c r="G2423" s="409" t="s">
        <v>2617</v>
      </c>
      <c r="H2423" s="465" t="e">
        <v>#N/A</v>
      </c>
      <c r="I2423" s="465" t="e">
        <v>#N/A</v>
      </c>
      <c r="J2423" s="465" t="e">
        <v>#N/A</v>
      </c>
      <c r="K2423" s="465" t="e">
        <v>#N/A</v>
      </c>
      <c r="L2423" s="464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str">
        <f t="shared" si="74"/>
        <v>SEVROLL Wilson D - kompletná sada políc</v>
      </c>
      <c r="C2424" s="185" t="e">
        <f t="shared" si="75"/>
        <v>#N/A</v>
      </c>
      <c r="D2424" s="409" t="s">
        <v>1712</v>
      </c>
      <c r="E2424" s="409" t="s">
        <v>2144</v>
      </c>
      <c r="F2424" s="409" t="s">
        <v>2307</v>
      </c>
      <c r="G2424" s="409" t="s">
        <v>2618</v>
      </c>
      <c r="H2424" s="465" t="e">
        <v>#N/A</v>
      </c>
      <c r="I2424" s="465" t="e">
        <v>#N/A</v>
      </c>
      <c r="J2424" s="465" t="e">
        <v>#N/A</v>
      </c>
      <c r="K2424" s="465" t="e">
        <v>#N/A</v>
      </c>
      <c r="L2424" s="464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str">
        <f t="shared" si="74"/>
        <v>SEVROLL Wilson E - kompletná sada políc</v>
      </c>
      <c r="C2425" s="185" t="e">
        <f t="shared" si="75"/>
        <v>#N/A</v>
      </c>
      <c r="D2425" s="409" t="s">
        <v>1713</v>
      </c>
      <c r="E2425" s="409" t="s">
        <v>2145</v>
      </c>
      <c r="F2425" s="409" t="s">
        <v>2308</v>
      </c>
      <c r="G2425" s="409" t="s">
        <v>2619</v>
      </c>
      <c r="H2425" s="465" t="e">
        <v>#N/A</v>
      </c>
      <c r="I2425" s="465" t="e">
        <v>#N/A</v>
      </c>
      <c r="J2425" s="465" t="e">
        <v>#N/A</v>
      </c>
      <c r="K2425" s="465" t="e">
        <v>#N/A</v>
      </c>
      <c r="L2425" s="464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str">
        <f t="shared" si="74"/>
        <v>SEVROLL Wilson F - kompletná sada políc</v>
      </c>
      <c r="C2426" s="185" t="e">
        <f t="shared" si="75"/>
        <v>#N/A</v>
      </c>
      <c r="D2426" s="409" t="s">
        <v>1714</v>
      </c>
      <c r="E2426" s="409" t="s">
        <v>2146</v>
      </c>
      <c r="F2426" s="409" t="s">
        <v>2309</v>
      </c>
      <c r="G2426" s="409" t="s">
        <v>2620</v>
      </c>
      <c r="H2426" s="465" t="e">
        <v>#N/A</v>
      </c>
      <c r="I2426" s="465" t="e">
        <v>#N/A</v>
      </c>
      <c r="J2426" s="465" t="e">
        <v>#N/A</v>
      </c>
      <c r="K2426" s="465" t="e">
        <v>#N/A</v>
      </c>
      <c r="L2426" s="464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DRŽIAK LIŠTY 1390 (40 kg)</v>
      </c>
      <c r="C2427" s="185">
        <f t="shared" si="75"/>
        <v>1.1316999999999999</v>
      </c>
      <c r="D2427" s="409" t="s">
        <v>8746</v>
      </c>
      <c r="E2427" s="409" t="s">
        <v>8747</v>
      </c>
      <c r="F2427" s="409" t="s">
        <v>8748</v>
      </c>
      <c r="G2427" s="409" t="s">
        <v>8749</v>
      </c>
      <c r="H2427" s="465">
        <v>28.083680000000001</v>
      </c>
      <c r="I2427" s="465">
        <v>1.1316999999999999</v>
      </c>
      <c r="J2427" s="465">
        <v>5.1329500000000001</v>
      </c>
      <c r="K2427" s="465">
        <v>493.83789999999999</v>
      </c>
      <c r="L2427" s="464" t="s">
        <v>539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posuvné kovanie 1030 2 dvere</v>
      </c>
      <c r="C2428" s="185">
        <f t="shared" si="75"/>
        <v>11.078060000000001</v>
      </c>
      <c r="D2428" s="409" t="s">
        <v>8750</v>
      </c>
      <c r="E2428" s="409" t="s">
        <v>8751</v>
      </c>
      <c r="F2428" s="409" t="s">
        <v>8752</v>
      </c>
      <c r="G2428" s="409" t="s">
        <v>8753</v>
      </c>
      <c r="H2428" s="465">
        <v>352.82945000000001</v>
      </c>
      <c r="I2428" s="465">
        <v>11.078060000000001</v>
      </c>
      <c r="J2428" s="465">
        <v>34.622169999999997</v>
      </c>
      <c r="K2428" s="465">
        <v>3135.7456000000002</v>
      </c>
      <c r="L2428" s="464" t="s">
        <v>695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posuvné kovanie 1030 3 dvere</v>
      </c>
      <c r="C2429" s="185">
        <f t="shared" si="75"/>
        <v>16.63043</v>
      </c>
      <c r="D2429" s="409" t="s">
        <v>8754</v>
      </c>
      <c r="E2429" s="409" t="s">
        <v>8755</v>
      </c>
      <c r="F2429" s="409" t="s">
        <v>8756</v>
      </c>
      <c r="G2429" s="409" t="s">
        <v>8757</v>
      </c>
      <c r="H2429" s="465">
        <v>529.66957000000002</v>
      </c>
      <c r="I2429" s="465">
        <v>16.63043</v>
      </c>
      <c r="J2429" s="465">
        <v>51.973350000000003</v>
      </c>
      <c r="K2429" s="465">
        <v>4707.39905</v>
      </c>
      <c r="L2429" s="464" t="s">
        <v>695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lišta zv.široká (Classic) biela 2,75m</v>
      </c>
      <c r="C2430" s="185">
        <f t="shared" si="75"/>
        <v>5.3296599999999996</v>
      </c>
      <c r="D2430" s="409" t="s">
        <v>8758</v>
      </c>
      <c r="E2430" s="409" t="s">
        <v>8759</v>
      </c>
      <c r="F2430" s="409" t="s">
        <v>8760</v>
      </c>
      <c r="G2430" s="409" t="s">
        <v>8761</v>
      </c>
      <c r="H2430" s="465">
        <v>136.9375</v>
      </c>
      <c r="I2430" s="465">
        <v>5.3296599999999996</v>
      </c>
      <c r="J2430" s="465">
        <v>29.390180000000001</v>
      </c>
      <c r="K2430" s="465">
        <v>0</v>
      </c>
      <c r="L2430" s="464" t="s">
        <v>537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lišta zv.široká (Classic) biela 2,75</v>
      </c>
      <c r="C2431" s="185">
        <f t="shared" si="75"/>
        <v>5.3296599999999996</v>
      </c>
      <c r="D2431" s="409" t="s">
        <v>8762</v>
      </c>
      <c r="E2431" s="409" t="s">
        <v>8763</v>
      </c>
      <c r="F2431" s="409" t="s">
        <v>8764</v>
      </c>
      <c r="G2431" s="409" t="s">
        <v>8765</v>
      </c>
      <c r="H2431" s="465">
        <v>136.9375</v>
      </c>
      <c r="I2431" s="465">
        <v>5.3296599999999996</v>
      </c>
      <c r="J2431" s="465">
        <v>29.390180000000001</v>
      </c>
      <c r="K2431" s="465">
        <v>0</v>
      </c>
      <c r="L2431" s="464" t="s">
        <v>537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IC-kolejnička horná biela 3m</v>
      </c>
      <c r="C2432" s="185">
        <f t="shared" si="75"/>
        <v>19.472840000000001</v>
      </c>
      <c r="D2432" s="409" t="s">
        <v>8766</v>
      </c>
      <c r="E2432" s="409" t="s">
        <v>8767</v>
      </c>
      <c r="F2432" s="409" t="s">
        <v>8768</v>
      </c>
      <c r="G2432" s="409" t="s">
        <v>8769</v>
      </c>
      <c r="H2432" s="465">
        <v>500.32499999999999</v>
      </c>
      <c r="I2432" s="465">
        <v>19.472840000000001</v>
      </c>
      <c r="J2432" s="465">
        <v>107.38209999999999</v>
      </c>
      <c r="K2432" s="465">
        <v>0</v>
      </c>
      <c r="L2432" s="464" t="s">
        <v>537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IC-kolejnička spodná biela 3m</v>
      </c>
      <c r="C2433" s="185">
        <f t="shared" si="75"/>
        <v>8.8203300000000002</v>
      </c>
      <c r="D2433" s="409" t="s">
        <v>8770</v>
      </c>
      <c r="E2433" s="409" t="s">
        <v>8771</v>
      </c>
      <c r="F2433" s="409" t="s">
        <v>8772</v>
      </c>
      <c r="G2433" s="409" t="s">
        <v>8773</v>
      </c>
      <c r="H2433" s="465">
        <v>226.625</v>
      </c>
      <c r="I2433" s="465">
        <v>8.8203300000000002</v>
      </c>
      <c r="J2433" s="465">
        <v>48.639319999999998</v>
      </c>
      <c r="K2433" s="465">
        <v>0</v>
      </c>
      <c r="L2433" s="464" t="s">
        <v>537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lišta vodiaca biela 2,4m</v>
      </c>
      <c r="C2434" s="185">
        <f t="shared" si="75"/>
        <v>2.8606400000000001</v>
      </c>
      <c r="D2434" s="409" t="s">
        <v>8774</v>
      </c>
      <c r="E2434" s="409" t="s">
        <v>8775</v>
      </c>
      <c r="F2434" s="409" t="s">
        <v>8776</v>
      </c>
      <c r="G2434" s="409" t="s">
        <v>8777</v>
      </c>
      <c r="H2434" s="465">
        <v>73.5</v>
      </c>
      <c r="I2434" s="465">
        <v>2.8606400000000001</v>
      </c>
      <c r="J2434" s="465">
        <v>15.77492</v>
      </c>
      <c r="K2434" s="465">
        <v>0</v>
      </c>
      <c r="L2434" s="464" t="s">
        <v>537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IC-úch.lišta Rome 10mm alu EU šampaň 5,3m</v>
      </c>
      <c r="C2435" s="185">
        <f t="shared" si="75"/>
        <v>35.051450000000003</v>
      </c>
      <c r="D2435" s="409" t="s">
        <v>8778</v>
      </c>
      <c r="E2435" s="409" t="s">
        <v>8779</v>
      </c>
      <c r="F2435" s="409" t="s">
        <v>8780</v>
      </c>
      <c r="G2435" s="409" t="s">
        <v>8781</v>
      </c>
      <c r="H2435" s="465">
        <v>1463.875</v>
      </c>
      <c r="I2435" s="465">
        <v>35.051450000000003</v>
      </c>
      <c r="J2435" s="465">
        <v>193.28966</v>
      </c>
      <c r="K2435" s="465">
        <v>29466.38709</v>
      </c>
      <c r="L2435" s="464" t="s">
        <v>539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9" t="e">
        <v>#N/A</v>
      </c>
      <c r="E2436" s="409" t="e">
        <v>#N/A</v>
      </c>
      <c r="F2436" s="409" t="e">
        <v>#N/A</v>
      </c>
      <c r="G2436" s="409" t="e">
        <v>#N/A</v>
      </c>
      <c r="H2436" s="465" t="e">
        <v>#N/A</v>
      </c>
      <c r="I2436" s="465" t="e">
        <v>#N/A</v>
      </c>
      <c r="J2436" s="465" t="e">
        <v>#N/A</v>
      </c>
      <c r="K2436" s="465" t="e">
        <v>#N/A</v>
      </c>
      <c r="L2436" s="464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úchytová lišta 2,7m strieborná</v>
      </c>
      <c r="C2437" s="185">
        <f t="shared" si="77"/>
        <v>16.810600000000001</v>
      </c>
      <c r="D2437" s="409" t="s">
        <v>2627</v>
      </c>
      <c r="E2437" s="409" t="s">
        <v>4443</v>
      </c>
      <c r="F2437" s="409" t="s">
        <v>4444</v>
      </c>
      <c r="G2437" s="409" t="s">
        <v>4445</v>
      </c>
      <c r="H2437" s="465">
        <v>467.54120999999998</v>
      </c>
      <c r="I2437" s="465">
        <v>16.810600000000001</v>
      </c>
      <c r="J2437" s="465">
        <v>57.807389999999998</v>
      </c>
      <c r="K2437" s="465">
        <v>6700.0857400000004</v>
      </c>
      <c r="L2437" s="464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Focus 18mm úch.lišta 2,7m strieborná</v>
      </c>
      <c r="C2438" s="185">
        <f t="shared" si="77"/>
        <v>6.7658800000000001</v>
      </c>
      <c r="D2438" s="409" t="s">
        <v>2628</v>
      </c>
      <c r="E2438" s="409" t="s">
        <v>3788</v>
      </c>
      <c r="F2438" s="409" t="s">
        <v>1252</v>
      </c>
      <c r="G2438" s="409" t="s">
        <v>3789</v>
      </c>
      <c r="H2438" s="465">
        <v>188.17447000000001</v>
      </c>
      <c r="I2438" s="465">
        <v>6.7658800000000001</v>
      </c>
      <c r="J2438" s="465">
        <v>23.26613</v>
      </c>
      <c r="K2438" s="465">
        <v>2696.62887</v>
      </c>
      <c r="L2438" s="464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horné vedenie 1,7m zlatá</v>
      </c>
      <c r="C2439" s="185">
        <f t="shared" si="77"/>
        <v>17.69537</v>
      </c>
      <c r="D2439" s="409" t="s">
        <v>2629</v>
      </c>
      <c r="E2439" s="409" t="s">
        <v>4334</v>
      </c>
      <c r="F2439" s="409" t="s">
        <v>4335</v>
      </c>
      <c r="G2439" s="409" t="s">
        <v>4336</v>
      </c>
      <c r="H2439" s="465">
        <v>492.14863000000003</v>
      </c>
      <c r="I2439" s="465">
        <v>17.69537</v>
      </c>
      <c r="J2439" s="465">
        <v>66.766980000000004</v>
      </c>
      <c r="K2439" s="465">
        <v>7052.7216600000002</v>
      </c>
      <c r="L2439" s="464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horné vedenie 1,7m oliva</v>
      </c>
      <c r="C2440" s="185">
        <f t="shared" si="77"/>
        <v>17.69537</v>
      </c>
      <c r="D2440" s="409" t="s">
        <v>2630</v>
      </c>
      <c r="E2440" s="409" t="s">
        <v>4362</v>
      </c>
      <c r="F2440" s="409" t="s">
        <v>4363</v>
      </c>
      <c r="G2440" s="409" t="s">
        <v>2630</v>
      </c>
      <c r="H2440" s="465">
        <v>492.14863000000003</v>
      </c>
      <c r="I2440" s="465">
        <v>17.69537</v>
      </c>
      <c r="J2440" s="465">
        <v>66.766980000000004</v>
      </c>
      <c r="K2440" s="465">
        <v>7052.7216600000002</v>
      </c>
      <c r="L2440" s="464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horné vedenie 1,7m strieborná</v>
      </c>
      <c r="C2441" s="185">
        <f t="shared" si="77"/>
        <v>14.15629</v>
      </c>
      <c r="D2441" s="409" t="s">
        <v>2631</v>
      </c>
      <c r="E2441" s="409" t="s">
        <v>4234</v>
      </c>
      <c r="F2441" s="409" t="s">
        <v>4235</v>
      </c>
      <c r="G2441" s="409" t="s">
        <v>2631</v>
      </c>
      <c r="H2441" s="465">
        <v>393.71888999999999</v>
      </c>
      <c r="I2441" s="465">
        <v>14.15629</v>
      </c>
      <c r="J2441" s="465">
        <v>52.183329999999998</v>
      </c>
      <c r="K2441" s="465">
        <v>5642.1771799999997</v>
      </c>
      <c r="L2441" s="464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horné vedenie 2,35m zlatá</v>
      </c>
      <c r="C2442" s="185">
        <f t="shared" si="77"/>
        <v>24.46124</v>
      </c>
      <c r="D2442" s="409" t="s">
        <v>2632</v>
      </c>
      <c r="E2442" s="409" t="s">
        <v>4564</v>
      </c>
      <c r="F2442" s="409" t="s">
        <v>4565</v>
      </c>
      <c r="G2442" s="409" t="s">
        <v>2632</v>
      </c>
      <c r="H2442" s="465">
        <v>680.32309999999995</v>
      </c>
      <c r="I2442" s="465">
        <v>24.46124</v>
      </c>
      <c r="J2442" s="465">
        <v>84.116020000000006</v>
      </c>
      <c r="K2442" s="465">
        <v>9749.3505399999995</v>
      </c>
      <c r="L2442" s="464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horné vedenie 2,35m oliva</v>
      </c>
      <c r="C2443" s="185">
        <f t="shared" si="77"/>
        <v>24.46124</v>
      </c>
      <c r="D2443" s="409" t="s">
        <v>2633</v>
      </c>
      <c r="E2443" s="409" t="s">
        <v>4562</v>
      </c>
      <c r="F2443" s="409" t="s">
        <v>4563</v>
      </c>
      <c r="G2443" s="409" t="s">
        <v>2633</v>
      </c>
      <c r="H2443" s="465">
        <v>680.32309999999995</v>
      </c>
      <c r="I2443" s="465">
        <v>24.46124</v>
      </c>
      <c r="J2443" s="465">
        <v>84.116020000000006</v>
      </c>
      <c r="K2443" s="465">
        <v>9749.3505399999995</v>
      </c>
      <c r="L2443" s="464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horné vedenie 2,35m strieborná</v>
      </c>
      <c r="C2444" s="185">
        <f t="shared" si="77"/>
        <v>19.54297</v>
      </c>
      <c r="D2444" s="409" t="s">
        <v>2634</v>
      </c>
      <c r="E2444" s="409" t="s">
        <v>4449</v>
      </c>
      <c r="F2444" s="409" t="s">
        <v>4450</v>
      </c>
      <c r="G2444" s="409" t="s">
        <v>2634</v>
      </c>
      <c r="H2444" s="465">
        <v>543.53472999999997</v>
      </c>
      <c r="I2444" s="465">
        <v>19.54297</v>
      </c>
      <c r="J2444" s="465">
        <v>72.115889999999993</v>
      </c>
      <c r="K2444" s="465">
        <v>7789.1087399999997</v>
      </c>
      <c r="L2444" s="464" t="s">
        <v>695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01011 Gemini horné vedenie 3m zlatá</v>
      </c>
      <c r="C2445" s="185">
        <f t="shared" si="77"/>
        <v>31.227119999999999</v>
      </c>
      <c r="D2445" s="409" t="s">
        <v>2635</v>
      </c>
      <c r="E2445" s="409" t="s">
        <v>4727</v>
      </c>
      <c r="F2445" s="409" t="s">
        <v>4728</v>
      </c>
      <c r="G2445" s="409" t="s">
        <v>2635</v>
      </c>
      <c r="H2445" s="465">
        <v>868.49757999999997</v>
      </c>
      <c r="I2445" s="465">
        <v>31.227119999999999</v>
      </c>
      <c r="J2445" s="465">
        <v>107.38215</v>
      </c>
      <c r="K2445" s="465">
        <v>12445.979429999999</v>
      </c>
      <c r="L2445" s="464" t="s">
        <v>538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horné vedenie 3m oliva</v>
      </c>
      <c r="C2446" s="185">
        <f t="shared" si="77"/>
        <v>31.227119999999999</v>
      </c>
      <c r="D2446" s="409" t="s">
        <v>2636</v>
      </c>
      <c r="E2446" s="409" t="s">
        <v>4725</v>
      </c>
      <c r="F2446" s="409" t="s">
        <v>4726</v>
      </c>
      <c r="G2446" s="409" t="s">
        <v>2636</v>
      </c>
      <c r="H2446" s="465">
        <v>868.49757999999997</v>
      </c>
      <c r="I2446" s="465">
        <v>31.227119999999999</v>
      </c>
      <c r="J2446" s="465">
        <v>107.38215</v>
      </c>
      <c r="K2446" s="465">
        <v>12445.979429999999</v>
      </c>
      <c r="L2446" s="464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01462 Gemini horné vedenie 3m strieborná</v>
      </c>
      <c r="C2447" s="185">
        <f t="shared" si="77"/>
        <v>24.9817</v>
      </c>
      <c r="D2447" s="409" t="s">
        <v>2637</v>
      </c>
      <c r="E2447" s="409" t="s">
        <v>4602</v>
      </c>
      <c r="F2447" s="409" t="s">
        <v>4603</v>
      </c>
      <c r="G2447" s="409" t="s">
        <v>2637</v>
      </c>
      <c r="H2447" s="465">
        <v>694.07431999999994</v>
      </c>
      <c r="I2447" s="465">
        <v>24.9817</v>
      </c>
      <c r="J2447" s="465">
        <v>92.079909999999998</v>
      </c>
      <c r="K2447" s="465">
        <v>9946.4119300000002</v>
      </c>
      <c r="L2447" s="464" t="s">
        <v>695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 Gemini horné vedenie 4,05m zlatá</v>
      </c>
      <c r="C2448" s="185">
        <f t="shared" si="77"/>
        <v>42.156610000000001</v>
      </c>
      <c r="D2448" s="409" t="s">
        <v>2638</v>
      </c>
      <c r="E2448" s="409" t="s">
        <v>4889</v>
      </c>
      <c r="F2448" s="409" t="s">
        <v>4890</v>
      </c>
      <c r="G2448" s="409" t="s">
        <v>2638</v>
      </c>
      <c r="H2448" s="465">
        <v>1172.47173</v>
      </c>
      <c r="I2448" s="465">
        <v>42.156610000000001</v>
      </c>
      <c r="J2448" s="465">
        <v>144.9659</v>
      </c>
      <c r="K2448" s="465">
        <v>16802.072219999998</v>
      </c>
      <c r="L2448" s="464" t="s">
        <v>538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horné vedenie 4,05m oliva</v>
      </c>
      <c r="C2449" s="185">
        <f t="shared" si="77"/>
        <v>42.156610000000001</v>
      </c>
      <c r="D2449" s="409" t="s">
        <v>2639</v>
      </c>
      <c r="E2449" s="409" t="s">
        <v>4887</v>
      </c>
      <c r="F2449" s="409" t="s">
        <v>4888</v>
      </c>
      <c r="G2449" s="409" t="s">
        <v>2639</v>
      </c>
      <c r="H2449" s="465">
        <v>1172.47173</v>
      </c>
      <c r="I2449" s="465">
        <v>42.156610000000001</v>
      </c>
      <c r="J2449" s="465">
        <v>144.9659</v>
      </c>
      <c r="K2449" s="465">
        <v>16802.072219999998</v>
      </c>
      <c r="L2449" s="464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horné vedenie 4,05m strieborná</v>
      </c>
      <c r="C2450" s="185">
        <f t="shared" si="77"/>
        <v>33.67324</v>
      </c>
      <c r="D2450" s="409" t="s">
        <v>2640</v>
      </c>
      <c r="E2450" s="409" t="s">
        <v>4790</v>
      </c>
      <c r="F2450" s="409" t="s">
        <v>4791</v>
      </c>
      <c r="G2450" s="409" t="s">
        <v>2640</v>
      </c>
      <c r="H2450" s="465">
        <v>936.52988000000005</v>
      </c>
      <c r="I2450" s="465">
        <v>33.67324</v>
      </c>
      <c r="J2450" s="465">
        <v>124.31495</v>
      </c>
      <c r="K2450" s="465">
        <v>13420.91432</v>
      </c>
      <c r="L2450" s="464" t="s">
        <v>695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str">
        <f t="shared" si="76"/>
        <v>SEVROLL Cleft spodné vedenie 1,7m zlatá</v>
      </c>
      <c r="C2451" s="185" t="e">
        <f t="shared" si="77"/>
        <v>#N/A</v>
      </c>
      <c r="D2451" s="409" t="s">
        <v>2641</v>
      </c>
      <c r="E2451" s="409" t="s">
        <v>5104</v>
      </c>
      <c r="F2451" s="409" t="s">
        <v>5105</v>
      </c>
      <c r="G2451" s="409" t="s">
        <v>5106</v>
      </c>
      <c r="H2451" s="465" t="e">
        <v>#N/A</v>
      </c>
      <c r="I2451" s="465" t="e">
        <v>#N/A</v>
      </c>
      <c r="J2451" s="465" t="e">
        <v>#N/A</v>
      </c>
      <c r="K2451" s="465" t="e">
        <v>#N/A</v>
      </c>
      <c r="L2451" s="464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Cleft spodné vedenie 1,7m oliva</v>
      </c>
      <c r="C2452" s="185">
        <f t="shared" si="77"/>
        <v>6.5603600000000002</v>
      </c>
      <c r="D2452" s="409" t="s">
        <v>2642</v>
      </c>
      <c r="E2452" s="409" t="s">
        <v>5100</v>
      </c>
      <c r="F2452" s="409" t="s">
        <v>1065</v>
      </c>
      <c r="G2452" s="409" t="s">
        <v>5101</v>
      </c>
      <c r="H2452" s="465">
        <v>166.1</v>
      </c>
      <c r="I2452" s="465">
        <v>6.5603600000000002</v>
      </c>
      <c r="J2452" s="465">
        <v>0</v>
      </c>
      <c r="K2452" s="465">
        <v>2839.22181</v>
      </c>
      <c r="L2452" s="464" t="s">
        <v>540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Cleft spodné vedenie 1,7m strieborná</v>
      </c>
      <c r="C2453" s="185">
        <f t="shared" si="77"/>
        <v>6.5603600000000002</v>
      </c>
      <c r="D2453" s="409" t="s">
        <v>2643</v>
      </c>
      <c r="E2453" s="409" t="s">
        <v>5102</v>
      </c>
      <c r="F2453" s="409" t="s">
        <v>1064</v>
      </c>
      <c r="G2453" s="409" t="s">
        <v>5103</v>
      </c>
      <c r="H2453" s="465">
        <v>166.1</v>
      </c>
      <c r="I2453" s="465">
        <v>6.5603600000000002</v>
      </c>
      <c r="J2453" s="465">
        <v>0</v>
      </c>
      <c r="K2453" s="465">
        <v>2839.22181</v>
      </c>
      <c r="L2453" s="464" t="s">
        <v>540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str">
        <f t="shared" si="76"/>
        <v>SEVROLL spodné vedenie 3m zlatá</v>
      </c>
      <c r="C2454" s="185" t="e">
        <f t="shared" si="77"/>
        <v>#N/A</v>
      </c>
      <c r="D2454" s="409" t="s">
        <v>2644</v>
      </c>
      <c r="E2454" s="409" t="s">
        <v>5107</v>
      </c>
      <c r="F2454" s="409" t="s">
        <v>1063</v>
      </c>
      <c r="G2454" s="409" t="s">
        <v>5108</v>
      </c>
      <c r="H2454" s="465" t="e">
        <v>#N/A</v>
      </c>
      <c r="I2454" s="465" t="e">
        <v>#N/A</v>
      </c>
      <c r="J2454" s="465" t="e">
        <v>#N/A</v>
      </c>
      <c r="K2454" s="465" t="e">
        <v>#N/A</v>
      </c>
      <c r="L2454" s="464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str">
        <f t="shared" si="76"/>
        <v>SEVROLL spodné vedenie 4,05m zlatá</v>
      </c>
      <c r="C2455" s="185" t="e">
        <f t="shared" si="77"/>
        <v>#N/A</v>
      </c>
      <c r="D2455" s="409" t="s">
        <v>2645</v>
      </c>
      <c r="E2455" s="409" t="s">
        <v>5109</v>
      </c>
      <c r="F2455" s="409" t="s">
        <v>1062</v>
      </c>
      <c r="G2455" s="409" t="s">
        <v>5110</v>
      </c>
      <c r="H2455" s="465" t="e">
        <v>#N/A</v>
      </c>
      <c r="I2455" s="465" t="e">
        <v>#N/A</v>
      </c>
      <c r="J2455" s="465" t="e">
        <v>#N/A</v>
      </c>
      <c r="K2455" s="465" t="e">
        <v>#N/A</v>
      </c>
      <c r="L2455" s="464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dorazový kartáč samolepiaci 6,7x4mm</v>
      </c>
      <c r="C2456" s="185">
        <f t="shared" si="77"/>
        <v>0.20458000000000001</v>
      </c>
      <c r="D2456" s="409" t="s">
        <v>1180</v>
      </c>
      <c r="E2456" s="409" t="s">
        <v>5119</v>
      </c>
      <c r="F2456" s="409" t="s">
        <v>1193</v>
      </c>
      <c r="G2456" s="409" t="s">
        <v>5120</v>
      </c>
      <c r="H2456" s="465">
        <v>6.2927099999999996</v>
      </c>
      <c r="I2456" s="465">
        <v>0.20458000000000001</v>
      </c>
      <c r="J2456" s="465">
        <v>1.0506</v>
      </c>
      <c r="K2456" s="465">
        <v>60.897199999999998</v>
      </c>
      <c r="L2456" s="464" t="s">
        <v>695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uholník Mini 17x11mm 1,7m zlatá</v>
      </c>
      <c r="C2457" s="185">
        <f t="shared" si="77"/>
        <v>3.0706699999999998</v>
      </c>
      <c r="D2457" s="409" t="s">
        <v>3574</v>
      </c>
      <c r="E2457" s="409" t="s">
        <v>3575</v>
      </c>
      <c r="F2457" s="409" t="s">
        <v>3576</v>
      </c>
      <c r="G2457" s="409" t="s">
        <v>3577</v>
      </c>
      <c r="H2457" s="465">
        <v>85.402270000000001</v>
      </c>
      <c r="I2457" s="465">
        <v>3.0706699999999998</v>
      </c>
      <c r="J2457" s="465">
        <v>10.55925</v>
      </c>
      <c r="K2457" s="465">
        <v>1223.85472</v>
      </c>
      <c r="L2457" s="464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00903 uholník Mini 17x11mm 1,7m oliva</v>
      </c>
      <c r="C2458" s="185">
        <f t="shared" si="77"/>
        <v>3.0706699999999998</v>
      </c>
      <c r="D2458" s="409" t="s">
        <v>3581</v>
      </c>
      <c r="E2458" s="409" t="s">
        <v>3582</v>
      </c>
      <c r="F2458" s="409" t="s">
        <v>3583</v>
      </c>
      <c r="G2458" s="409" t="s">
        <v>2646</v>
      </c>
      <c r="H2458" s="465">
        <v>85.402270000000001</v>
      </c>
      <c r="I2458" s="465">
        <v>3.0706699999999998</v>
      </c>
      <c r="J2458" s="465">
        <v>10.55925</v>
      </c>
      <c r="K2458" s="465">
        <v>1223.85472</v>
      </c>
      <c r="L2458" s="464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úhelník Mini 17x11mm 1,7m strieborný</v>
      </c>
      <c r="C2459" s="185">
        <f t="shared" si="77"/>
        <v>2.4461200000000001</v>
      </c>
      <c r="D2459" s="409" t="s">
        <v>6139</v>
      </c>
      <c r="E2459" s="409" t="s">
        <v>6140</v>
      </c>
      <c r="F2459" s="409" t="s">
        <v>6141</v>
      </c>
      <c r="G2459" s="409" t="s">
        <v>2647</v>
      </c>
      <c r="H2459" s="465">
        <v>68.032300000000006</v>
      </c>
      <c r="I2459" s="465">
        <v>2.4461200000000001</v>
      </c>
      <c r="J2459" s="465">
        <v>8.7942400000000003</v>
      </c>
      <c r="K2459" s="465">
        <v>974.93489</v>
      </c>
      <c r="L2459" s="464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uholník Mini 17x11mm 2,35m zlatá</v>
      </c>
      <c r="C2460" s="185">
        <f t="shared" si="77"/>
        <v>4.2286700000000002</v>
      </c>
      <c r="D2460" s="409" t="s">
        <v>3636</v>
      </c>
      <c r="E2460" s="409" t="s">
        <v>3637</v>
      </c>
      <c r="F2460" s="409" t="s">
        <v>3638</v>
      </c>
      <c r="G2460" s="409" t="s">
        <v>3639</v>
      </c>
      <c r="H2460" s="465">
        <v>117.97091</v>
      </c>
      <c r="I2460" s="465">
        <v>4.2286700000000002</v>
      </c>
      <c r="J2460" s="465">
        <v>14.586069999999999</v>
      </c>
      <c r="K2460" s="465">
        <v>1690.5787499999999</v>
      </c>
      <c r="L2460" s="464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00904 uholník Mini 17x11mm 2,35m oliva</v>
      </c>
      <c r="C2461" s="185">
        <f t="shared" si="77"/>
        <v>4.2286700000000002</v>
      </c>
      <c r="D2461" s="409" t="s">
        <v>3633</v>
      </c>
      <c r="E2461" s="409" t="s">
        <v>3634</v>
      </c>
      <c r="F2461" s="409" t="s">
        <v>3635</v>
      </c>
      <c r="G2461" s="409" t="s">
        <v>2648</v>
      </c>
      <c r="H2461" s="465">
        <v>117.97091</v>
      </c>
      <c r="I2461" s="465">
        <v>4.2286700000000002</v>
      </c>
      <c r="J2461" s="465">
        <v>14.586069999999999</v>
      </c>
      <c r="K2461" s="465">
        <v>1690.5787499999999</v>
      </c>
      <c r="L2461" s="464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úhelník Mini 17x11mm 2,35m strieborný</v>
      </c>
      <c r="C2462" s="185">
        <f t="shared" si="77"/>
        <v>3.3829400000000001</v>
      </c>
      <c r="D2462" s="409" t="s">
        <v>3590</v>
      </c>
      <c r="E2462" s="409" t="s">
        <v>3591</v>
      </c>
      <c r="F2462" s="409" t="s">
        <v>3592</v>
      </c>
      <c r="G2462" s="409" t="s">
        <v>3593</v>
      </c>
      <c r="H2462" s="465">
        <v>94.087239999999994</v>
      </c>
      <c r="I2462" s="465">
        <v>3.3829400000000001</v>
      </c>
      <c r="J2462" s="465">
        <v>12.129440000000001</v>
      </c>
      <c r="K2462" s="465">
        <v>1348.3144400000001</v>
      </c>
      <c r="L2462" s="464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uholník Mini 17x11mm 3m zlatá</v>
      </c>
      <c r="C2463" s="185">
        <f t="shared" si="77"/>
        <v>5.3866800000000001</v>
      </c>
      <c r="D2463" s="409" t="s">
        <v>3725</v>
      </c>
      <c r="E2463" s="409" t="s">
        <v>3726</v>
      </c>
      <c r="F2463" s="409" t="s">
        <v>3727</v>
      </c>
      <c r="G2463" s="409" t="s">
        <v>3728</v>
      </c>
      <c r="H2463" s="465">
        <v>149.81584000000001</v>
      </c>
      <c r="I2463" s="465">
        <v>5.3866800000000001</v>
      </c>
      <c r="J2463" s="465">
        <v>18.523420000000002</v>
      </c>
      <c r="K2463" s="465">
        <v>2146.9315799999999</v>
      </c>
      <c r="L2463" s="464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00905 uholník Mini 17x11mm 3m oliva</v>
      </c>
      <c r="C2464" s="185">
        <f t="shared" si="77"/>
        <v>5.3866800000000001</v>
      </c>
      <c r="D2464" s="409" t="s">
        <v>3721</v>
      </c>
      <c r="E2464" s="409" t="s">
        <v>3722</v>
      </c>
      <c r="F2464" s="409" t="s">
        <v>3723</v>
      </c>
      <c r="G2464" s="409" t="s">
        <v>3724</v>
      </c>
      <c r="H2464" s="465">
        <v>149.81584000000001</v>
      </c>
      <c r="I2464" s="465">
        <v>5.3866800000000001</v>
      </c>
      <c r="J2464" s="465">
        <v>18.523420000000002</v>
      </c>
      <c r="K2464" s="465">
        <v>2146.9315799999999</v>
      </c>
      <c r="L2464" s="464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úhelník Mini 17x11mm 3m strieborný</v>
      </c>
      <c r="C2465" s="185">
        <f t="shared" si="77"/>
        <v>4.31975</v>
      </c>
      <c r="D2465" s="409" t="s">
        <v>3640</v>
      </c>
      <c r="E2465" s="409" t="s">
        <v>3641</v>
      </c>
      <c r="F2465" s="409" t="s">
        <v>3642</v>
      </c>
      <c r="G2465" s="409" t="s">
        <v>3643</v>
      </c>
      <c r="H2465" s="465">
        <v>120.14218</v>
      </c>
      <c r="I2465" s="465">
        <v>4.31975</v>
      </c>
      <c r="J2465" s="465">
        <v>15.49611</v>
      </c>
      <c r="K2465" s="465">
        <v>1721.69399</v>
      </c>
      <c r="L2465" s="464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Micra horn/spod.vedenie 1,7m str.elo</v>
      </c>
      <c r="C2466" s="185">
        <f t="shared" si="77"/>
        <v>3.3569200000000001</v>
      </c>
      <c r="D2466" s="409" t="s">
        <v>2649</v>
      </c>
      <c r="E2466" s="409" t="s">
        <v>3625</v>
      </c>
      <c r="F2466" s="409" t="s">
        <v>1226</v>
      </c>
      <c r="G2466" s="409" t="s">
        <v>3626</v>
      </c>
      <c r="H2466" s="465">
        <v>93.363489999999999</v>
      </c>
      <c r="I2466" s="465">
        <v>3.3569200000000001</v>
      </c>
      <c r="J2466" s="465">
        <v>11.699400000000001</v>
      </c>
      <c r="K2466" s="465">
        <v>1337.94283</v>
      </c>
      <c r="L2466" s="464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Micra hor/spod.vedenie 2,35m str.elo</v>
      </c>
      <c r="C2467" s="185">
        <f t="shared" si="77"/>
        <v>4.6580500000000002</v>
      </c>
      <c r="D2467" s="409" t="s">
        <v>2650</v>
      </c>
      <c r="E2467" s="409" t="s">
        <v>3736</v>
      </c>
      <c r="F2467" s="409" t="s">
        <v>1225</v>
      </c>
      <c r="G2467" s="409" t="s">
        <v>3737</v>
      </c>
      <c r="H2467" s="465">
        <v>129.55089000000001</v>
      </c>
      <c r="I2467" s="465">
        <v>4.6580500000000002</v>
      </c>
      <c r="J2467" s="465">
        <v>16.1568</v>
      </c>
      <c r="K2467" s="465">
        <v>1856.52531</v>
      </c>
      <c r="L2467" s="464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Micra horné/spod.vedenie 3m str.elox</v>
      </c>
      <c r="C2468" s="185">
        <f t="shared" si="77"/>
        <v>5.9331500000000004</v>
      </c>
      <c r="D2468" s="409" t="s">
        <v>2651</v>
      </c>
      <c r="E2468" s="409" t="s">
        <v>3827</v>
      </c>
      <c r="F2468" s="409" t="s">
        <v>1224</v>
      </c>
      <c r="G2468" s="409" t="s">
        <v>3828</v>
      </c>
      <c r="H2468" s="465">
        <v>165.01455000000001</v>
      </c>
      <c r="I2468" s="465">
        <v>5.9331500000000004</v>
      </c>
      <c r="J2468" s="465">
        <v>20.6448</v>
      </c>
      <c r="K2468" s="465">
        <v>2364.7361799999999</v>
      </c>
      <c r="L2468" s="464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horné/spodné vedenie 1,7m surová</v>
      </c>
      <c r="C2469" s="185">
        <f t="shared" si="77"/>
        <v>2.6022599999999998</v>
      </c>
      <c r="D2469" s="409" t="s">
        <v>2652</v>
      </c>
      <c r="E2469" s="409" t="s">
        <v>6142</v>
      </c>
      <c r="F2469" s="409" t="s">
        <v>6143</v>
      </c>
      <c r="G2469" s="409" t="s">
        <v>6144</v>
      </c>
      <c r="H2469" s="465">
        <v>72.374799999999993</v>
      </c>
      <c r="I2469" s="465">
        <v>2.6022599999999998</v>
      </c>
      <c r="J2469" s="465">
        <v>8.9485100000000006</v>
      </c>
      <c r="K2469" s="465">
        <v>1037.1649500000001</v>
      </c>
      <c r="L2469" s="464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horné/spodné vedenie 2,35m surová</v>
      </c>
      <c r="C2470" s="185">
        <f t="shared" si="77"/>
        <v>3.61714</v>
      </c>
      <c r="D2470" s="409" t="s">
        <v>2653</v>
      </c>
      <c r="E2470" s="409" t="s">
        <v>3584</v>
      </c>
      <c r="F2470" s="409" t="s">
        <v>3585</v>
      </c>
      <c r="G2470" s="409" t="s">
        <v>3586</v>
      </c>
      <c r="H2470" s="465">
        <v>100.60097</v>
      </c>
      <c r="I2470" s="465">
        <v>3.61714</v>
      </c>
      <c r="J2470" s="465">
        <v>12.43843</v>
      </c>
      <c r="K2470" s="465">
        <v>1441.65932</v>
      </c>
      <c r="L2470" s="464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horné/spodné vedenie 3m surová</v>
      </c>
      <c r="C2471" s="185">
        <f t="shared" si="77"/>
        <v>4.6059999999999999</v>
      </c>
      <c r="D2471" s="409" t="s">
        <v>2654</v>
      </c>
      <c r="E2471" s="409" t="s">
        <v>3630</v>
      </c>
      <c r="F2471" s="409" t="s">
        <v>3631</v>
      </c>
      <c r="G2471" s="409" t="s">
        <v>3632</v>
      </c>
      <c r="H2471" s="465">
        <v>128.10339999999999</v>
      </c>
      <c r="I2471" s="465">
        <v>4.6059999999999999</v>
      </c>
      <c r="J2471" s="465">
        <v>15.83888</v>
      </c>
      <c r="K2471" s="465">
        <v>1835.78208</v>
      </c>
      <c r="L2471" s="464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str">
        <f t="shared" si="76"/>
        <v>SEVROLL 258-MASKA CLEFT 1,7M ZLATÁ</v>
      </c>
      <c r="C2472" s="185" t="e">
        <f t="shared" si="77"/>
        <v>#N/A</v>
      </c>
      <c r="D2472" s="409" t="s">
        <v>1055</v>
      </c>
      <c r="E2472" s="409" t="s">
        <v>5409</v>
      </c>
      <c r="F2472" s="409" t="s">
        <v>5410</v>
      </c>
      <c r="G2472" s="409" t="s">
        <v>5411</v>
      </c>
      <c r="H2472" s="465" t="e">
        <v>#N/A</v>
      </c>
      <c r="I2472" s="465" t="e">
        <v>#N/A</v>
      </c>
      <c r="J2472" s="465" t="e">
        <v>#N/A</v>
      </c>
      <c r="K2472" s="465" t="e">
        <v>#N/A</v>
      </c>
      <c r="L2472" s="464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str">
        <f t="shared" si="76"/>
        <v>SEVROLL 259-MASKA CLEFT 2,35M ZLATÁ</v>
      </c>
      <c r="C2473" s="185" t="e">
        <f t="shared" si="77"/>
        <v>#N/A</v>
      </c>
      <c r="D2473" s="409" t="s">
        <v>1053</v>
      </c>
      <c r="E2473" s="409" t="s">
        <v>5415</v>
      </c>
      <c r="F2473" s="409" t="s">
        <v>5416</v>
      </c>
      <c r="G2473" s="409" t="s">
        <v>5417</v>
      </c>
      <c r="H2473" s="465" t="e">
        <v>#N/A</v>
      </c>
      <c r="I2473" s="465" t="e">
        <v>#N/A</v>
      </c>
      <c r="J2473" s="465" t="e">
        <v>#N/A</v>
      </c>
      <c r="K2473" s="465" t="e">
        <v>#N/A</v>
      </c>
      <c r="L2473" s="464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259-MASKA CLEFT 2,35M STRIEBOR.</v>
      </c>
      <c r="C2474" s="185">
        <f t="shared" si="77"/>
        <v>3.3801000000000001</v>
      </c>
      <c r="D2474" s="409" t="s">
        <v>1054</v>
      </c>
      <c r="E2474" s="409" t="s">
        <v>5412</v>
      </c>
      <c r="F2474" s="409" t="s">
        <v>5413</v>
      </c>
      <c r="G2474" s="409" t="s">
        <v>5414</v>
      </c>
      <c r="H2474" s="465">
        <v>85.58</v>
      </c>
      <c r="I2474" s="465">
        <v>3.3801000000000001</v>
      </c>
      <c r="J2474" s="465">
        <v>0</v>
      </c>
      <c r="K2474" s="465">
        <v>1462.85733</v>
      </c>
      <c r="L2474" s="464" t="s">
        <v>540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str">
        <f t="shared" si="76"/>
        <v>SEVROLL 260-MASKA CLEFT 3M ZLATÁ</v>
      </c>
      <c r="C2475" s="185" t="e">
        <f t="shared" si="77"/>
        <v>#N/A</v>
      </c>
      <c r="D2475" s="409" t="s">
        <v>1052</v>
      </c>
      <c r="E2475" s="409" t="s">
        <v>5418</v>
      </c>
      <c r="F2475" s="409" t="s">
        <v>5419</v>
      </c>
      <c r="G2475" s="409" t="s">
        <v>5420</v>
      </c>
      <c r="H2475" s="465" t="e">
        <v>#N/A</v>
      </c>
      <c r="I2475" s="465" t="e">
        <v>#N/A</v>
      </c>
      <c r="J2475" s="465" t="e">
        <v>#N/A</v>
      </c>
      <c r="K2475" s="465" t="e">
        <v>#N/A</v>
      </c>
      <c r="L2475" s="464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spojovaciá lišta "T" 3m oliva</v>
      </c>
      <c r="C2476" s="185">
        <f t="shared" si="77"/>
        <v>11.86631</v>
      </c>
      <c r="D2476" s="409" t="s">
        <v>2655</v>
      </c>
      <c r="E2476" s="409" t="s">
        <v>4115</v>
      </c>
      <c r="F2476" s="409" t="s">
        <v>1210</v>
      </c>
      <c r="G2476" s="409" t="s">
        <v>4116</v>
      </c>
      <c r="H2476" s="465">
        <v>330.02909</v>
      </c>
      <c r="I2476" s="465">
        <v>11.86631</v>
      </c>
      <c r="J2476" s="465">
        <v>40.805219999999998</v>
      </c>
      <c r="K2476" s="465">
        <v>4729.4723400000003</v>
      </c>
      <c r="L2476" s="464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spojovaciá lišta "T" 3m strieborná</v>
      </c>
      <c r="C2477" s="185">
        <f t="shared" si="77"/>
        <v>9.6543799999999997</v>
      </c>
      <c r="D2477" s="409" t="s">
        <v>2656</v>
      </c>
      <c r="E2477" s="409" t="s">
        <v>4093</v>
      </c>
      <c r="F2477" s="409" t="s">
        <v>1209</v>
      </c>
      <c r="G2477" s="409" t="s">
        <v>4094</v>
      </c>
      <c r="H2477" s="465">
        <v>268.51049999999998</v>
      </c>
      <c r="I2477" s="465">
        <v>9.6543799999999997</v>
      </c>
      <c r="J2477" s="465">
        <v>33.609000000000002</v>
      </c>
      <c r="K2477" s="465">
        <v>3847.8819400000002</v>
      </c>
      <c r="L2477" s="464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spodná krycia lišta 3m 10mm strieborná</v>
      </c>
      <c r="C2478" s="185">
        <f t="shared" si="77"/>
        <v>25.892489999999999</v>
      </c>
      <c r="D2478" s="409" t="s">
        <v>2657</v>
      </c>
      <c r="E2478" s="409" t="s">
        <v>5533</v>
      </c>
      <c r="F2478" s="409" t="s">
        <v>5534</v>
      </c>
      <c r="G2478" s="409" t="s">
        <v>5535</v>
      </c>
      <c r="H2478" s="465">
        <v>720.12924999999996</v>
      </c>
      <c r="I2478" s="465">
        <v>25.892489999999999</v>
      </c>
      <c r="J2478" s="465">
        <v>95.563800000000001</v>
      </c>
      <c r="K2478" s="465">
        <v>10319.79148</v>
      </c>
      <c r="L2478" s="464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spodná krycia lišta 3m 10mm oliva</v>
      </c>
      <c r="C2479" s="185">
        <f t="shared" si="77"/>
        <v>31.64348</v>
      </c>
      <c r="D2479" s="409" t="s">
        <v>2658</v>
      </c>
      <c r="E2479" s="409" t="s">
        <v>5527</v>
      </c>
      <c r="F2479" s="409" t="s">
        <v>5528</v>
      </c>
      <c r="G2479" s="409" t="s">
        <v>5529</v>
      </c>
      <c r="H2479" s="465">
        <v>880.07754999999997</v>
      </c>
      <c r="I2479" s="465">
        <v>31.64348</v>
      </c>
      <c r="J2479" s="465">
        <v>108.81391000000001</v>
      </c>
      <c r="K2479" s="465">
        <v>12611.92596</v>
      </c>
      <c r="L2479" s="464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spodná krycia lišta 2,35m 10mm strieborná</v>
      </c>
      <c r="C2480" s="185">
        <f t="shared" si="77"/>
        <v>20.24558</v>
      </c>
      <c r="D2480" s="409" t="s">
        <v>2659</v>
      </c>
      <c r="E2480" s="409" t="s">
        <v>5515</v>
      </c>
      <c r="F2480" s="409" t="s">
        <v>5516</v>
      </c>
      <c r="G2480" s="409" t="s">
        <v>5517</v>
      </c>
      <c r="H2480" s="465">
        <v>563.07592999999997</v>
      </c>
      <c r="I2480" s="465">
        <v>20.24558</v>
      </c>
      <c r="J2480" s="465">
        <v>74.827200000000005</v>
      </c>
      <c r="K2480" s="465">
        <v>8069.1434099999997</v>
      </c>
      <c r="L2480" s="464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spodná krycia lišta 2,35m 10mm oliva</v>
      </c>
      <c r="C2481" s="185">
        <f t="shared" si="77"/>
        <v>24.72147</v>
      </c>
      <c r="D2481" s="409" t="s">
        <v>2660</v>
      </c>
      <c r="E2481" s="409" t="s">
        <v>5509</v>
      </c>
      <c r="F2481" s="409" t="s">
        <v>5510</v>
      </c>
      <c r="G2481" s="409" t="s">
        <v>5511</v>
      </c>
      <c r="H2481" s="465">
        <v>687.56057999999996</v>
      </c>
      <c r="I2481" s="465">
        <v>24.72147</v>
      </c>
      <c r="J2481" s="465">
        <v>85.010859999999994</v>
      </c>
      <c r="K2481" s="465">
        <v>9853.0670499999997</v>
      </c>
      <c r="L2481" s="464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spodná krycia lišta 1,7m 10mm strieborná</v>
      </c>
      <c r="C2482" s="185">
        <f t="shared" si="77"/>
        <v>14.65072</v>
      </c>
      <c r="D2482" s="409" t="s">
        <v>2661</v>
      </c>
      <c r="E2482" s="409" t="s">
        <v>5500</v>
      </c>
      <c r="F2482" s="409" t="s">
        <v>5501</v>
      </c>
      <c r="G2482" s="409" t="s">
        <v>5502</v>
      </c>
      <c r="H2482" s="465">
        <v>407.4701</v>
      </c>
      <c r="I2482" s="465">
        <v>14.65072</v>
      </c>
      <c r="J2482" s="465">
        <v>54.141599999999997</v>
      </c>
      <c r="K2482" s="465">
        <v>5839.23855</v>
      </c>
      <c r="L2482" s="464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spodná krycia lišta 1,7m 10mm oliva</v>
      </c>
      <c r="C2483" s="185">
        <f t="shared" si="77"/>
        <v>17.929569999999998</v>
      </c>
      <c r="D2483" s="409" t="s">
        <v>2662</v>
      </c>
      <c r="E2483" s="409" t="s">
        <v>5494</v>
      </c>
      <c r="F2483" s="409" t="s">
        <v>5495</v>
      </c>
      <c r="G2483" s="409" t="s">
        <v>5496</v>
      </c>
      <c r="H2483" s="465">
        <v>498.66235999999998</v>
      </c>
      <c r="I2483" s="465">
        <v>17.929569999999998</v>
      </c>
      <c r="J2483" s="465">
        <v>61.655250000000002</v>
      </c>
      <c r="K2483" s="465">
        <v>7146.06657</v>
      </c>
      <c r="L2483" s="464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206 VOD.LIŠTA HOR.1,7M STRIEBOR.</v>
      </c>
      <c r="C2484" s="185">
        <f t="shared" si="77"/>
        <v>8.0670099999999998</v>
      </c>
      <c r="D2484" s="409" t="s">
        <v>2663</v>
      </c>
      <c r="E2484" s="409" t="s">
        <v>5316</v>
      </c>
      <c r="F2484" s="409" t="s">
        <v>5317</v>
      </c>
      <c r="G2484" s="409" t="s">
        <v>5318</v>
      </c>
      <c r="H2484" s="465">
        <v>224.36187000000001</v>
      </c>
      <c r="I2484" s="465">
        <v>8.0670099999999998</v>
      </c>
      <c r="J2484" s="465">
        <v>46.144799999999996</v>
      </c>
      <c r="K2484" s="465">
        <v>3215.21135</v>
      </c>
      <c r="L2484" s="464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206 VOD.LIŠTA HOR.1,7M OLIVOVÁ</v>
      </c>
      <c r="C2485" s="185">
        <f t="shared" si="77"/>
        <v>9.6283600000000007</v>
      </c>
      <c r="D2485" s="409" t="s">
        <v>2664</v>
      </c>
      <c r="E2485" s="409" t="s">
        <v>5308</v>
      </c>
      <c r="F2485" s="409" t="s">
        <v>5309</v>
      </c>
      <c r="G2485" s="409" t="s">
        <v>5310</v>
      </c>
      <c r="H2485" s="465">
        <v>267.78674999999998</v>
      </c>
      <c r="I2485" s="465">
        <v>9.6283600000000007</v>
      </c>
      <c r="J2485" s="465">
        <v>50.755200000000002</v>
      </c>
      <c r="K2485" s="465">
        <v>3837.5103100000001</v>
      </c>
      <c r="L2485" s="464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207 VOD.LIŠTA HOR.2,35M STRIEBOR</v>
      </c>
      <c r="C2486" s="185">
        <f t="shared" si="77"/>
        <v>11.1637</v>
      </c>
      <c r="D2486" s="409" t="s">
        <v>2665</v>
      </c>
      <c r="E2486" s="409" t="s">
        <v>5332</v>
      </c>
      <c r="F2486" s="409" t="s">
        <v>5333</v>
      </c>
      <c r="G2486" s="409" t="s">
        <v>5334</v>
      </c>
      <c r="H2486" s="465">
        <v>310.48788999999999</v>
      </c>
      <c r="I2486" s="465">
        <v>11.1637</v>
      </c>
      <c r="J2486" s="465">
        <v>63.801000000000002</v>
      </c>
      <c r="K2486" s="465">
        <v>4449.4376700000003</v>
      </c>
      <c r="L2486" s="464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207 VOD.LIŠTA HOR.2,35M OLIVOVÁ</v>
      </c>
      <c r="C2487" s="185">
        <f t="shared" si="77"/>
        <v>13.349589999999999</v>
      </c>
      <c r="D2487" s="409" t="s">
        <v>2666</v>
      </c>
      <c r="E2487" s="409" t="s">
        <v>5324</v>
      </c>
      <c r="F2487" s="409" t="s">
        <v>5325</v>
      </c>
      <c r="G2487" s="409" t="s">
        <v>5326</v>
      </c>
      <c r="H2487" s="465">
        <v>371.28271000000001</v>
      </c>
      <c r="I2487" s="465">
        <v>13.349589999999999</v>
      </c>
      <c r="J2487" s="465">
        <v>70.186199999999999</v>
      </c>
      <c r="K2487" s="465">
        <v>5320.65607</v>
      </c>
      <c r="L2487" s="464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208 VOD.LIŠTA HOR 3M STRIEBOR.</v>
      </c>
      <c r="C2488" s="185">
        <f t="shared" si="77"/>
        <v>14.26038</v>
      </c>
      <c r="D2488" s="409" t="s">
        <v>2667</v>
      </c>
      <c r="E2488" s="409" t="s">
        <v>5351</v>
      </c>
      <c r="F2488" s="409" t="s">
        <v>5352</v>
      </c>
      <c r="G2488" s="409" t="s">
        <v>5353</v>
      </c>
      <c r="H2488" s="465">
        <v>396.6139</v>
      </c>
      <c r="I2488" s="465">
        <v>14.26038</v>
      </c>
      <c r="J2488" s="465">
        <v>81.426599999999993</v>
      </c>
      <c r="K2488" s="465">
        <v>5683.6640200000002</v>
      </c>
      <c r="L2488" s="464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208 VOD.LIŠTA HOR 3M OLIVOVÁ</v>
      </c>
      <c r="C2489" s="185">
        <f t="shared" si="77"/>
        <v>17.044799999999999</v>
      </c>
      <c r="D2489" s="409" t="s">
        <v>2668</v>
      </c>
      <c r="E2489" s="409" t="s">
        <v>5343</v>
      </c>
      <c r="F2489" s="409" t="s">
        <v>5344</v>
      </c>
      <c r="G2489" s="409" t="s">
        <v>5345</v>
      </c>
      <c r="H2489" s="465">
        <v>474.05493999999999</v>
      </c>
      <c r="I2489" s="465">
        <v>17.044799999999999</v>
      </c>
      <c r="J2489" s="465">
        <v>89.566199999999995</v>
      </c>
      <c r="K2489" s="465">
        <v>6793.4306200000001</v>
      </c>
      <c r="L2489" s="464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SPOJ.LIŠTA "H10" 3M STR.</v>
      </c>
      <c r="C2490" s="185">
        <f t="shared" si="77"/>
        <v>12.17858</v>
      </c>
      <c r="D2490" s="409" t="s">
        <v>2669</v>
      </c>
      <c r="E2490" s="409" t="s">
        <v>4319</v>
      </c>
      <c r="F2490" s="409" t="s">
        <v>4320</v>
      </c>
      <c r="G2490" s="409" t="s">
        <v>4321</v>
      </c>
      <c r="H2490" s="465">
        <v>338.71406000000002</v>
      </c>
      <c r="I2490" s="465">
        <v>12.17858</v>
      </c>
      <c r="J2490" s="465">
        <v>51.754800000000003</v>
      </c>
      <c r="K2490" s="465">
        <v>4853.9320600000001</v>
      </c>
      <c r="L2490" s="464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153 SPOJ.LIŠTA "H 10"3M OLIVOVÁ</v>
      </c>
      <c r="C2491" s="185">
        <f t="shared" si="77"/>
        <v>15.22322</v>
      </c>
      <c r="D2491" s="409" t="s">
        <v>2670</v>
      </c>
      <c r="E2491" s="409" t="s">
        <v>4316</v>
      </c>
      <c r="F2491" s="409" t="s">
        <v>4317</v>
      </c>
      <c r="G2491" s="409" t="s">
        <v>4318</v>
      </c>
      <c r="H2491" s="465">
        <v>423.39258000000001</v>
      </c>
      <c r="I2491" s="465">
        <v>15.22322</v>
      </c>
      <c r="J2491" s="465">
        <v>56.915999999999997</v>
      </c>
      <c r="K2491" s="465">
        <v>6067.4151700000002</v>
      </c>
      <c r="L2491" s="464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tesnenie na sklo 10/4mm</v>
      </c>
      <c r="C2492" s="185">
        <f t="shared" si="77"/>
        <v>0.80669999999999997</v>
      </c>
      <c r="D2492" s="409" t="s">
        <v>2671</v>
      </c>
      <c r="E2492" s="409" t="s">
        <v>5603</v>
      </c>
      <c r="F2492" s="409" t="s">
        <v>5604</v>
      </c>
      <c r="G2492" s="409" t="s">
        <v>5605</v>
      </c>
      <c r="H2492" s="465">
        <v>23.80818</v>
      </c>
      <c r="I2492" s="465">
        <v>0.80669999999999997</v>
      </c>
      <c r="J2492" s="465">
        <v>2.7501000000000002</v>
      </c>
      <c r="K2492" s="465">
        <v>330.63301999999999</v>
      </c>
      <c r="L2492" s="464" t="s">
        <v>695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tesnenie na sklo 10/6mm</v>
      </c>
      <c r="C2493" s="185">
        <f t="shared" si="77"/>
        <v>0.80669999999999997</v>
      </c>
      <c r="D2493" s="409" t="s">
        <v>2672</v>
      </c>
      <c r="E2493" s="409" t="s">
        <v>5606</v>
      </c>
      <c r="F2493" s="409" t="s">
        <v>5607</v>
      </c>
      <c r="G2493" s="409" t="s">
        <v>5608</v>
      </c>
      <c r="H2493" s="465">
        <v>23.80818</v>
      </c>
      <c r="I2493" s="465">
        <v>0.80669999999999997</v>
      </c>
      <c r="J2493" s="465">
        <v>2.7501000000000002</v>
      </c>
      <c r="K2493" s="465">
        <v>330.63301999999999</v>
      </c>
      <c r="L2493" s="464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skrutkovrut 6,3x32 SEVROLL a Simple</v>
      </c>
      <c r="C2494" s="185">
        <f t="shared" si="77"/>
        <v>0.15614</v>
      </c>
      <c r="D2494" s="409" t="s">
        <v>2673</v>
      </c>
      <c r="E2494" s="409" t="s">
        <v>6145</v>
      </c>
      <c r="F2494" s="409" t="s">
        <v>6146</v>
      </c>
      <c r="G2494" s="409" t="s">
        <v>6147</v>
      </c>
      <c r="H2494" s="465">
        <v>4.6080500000000004</v>
      </c>
      <c r="I2494" s="465">
        <v>0.15614</v>
      </c>
      <c r="J2494" s="465">
        <v>0.52500000000000002</v>
      </c>
      <c r="K2494" s="465">
        <v>63.993670000000002</v>
      </c>
      <c r="L2494" s="464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str">
        <f t="shared" si="76"/>
        <v>SEVROLL 270-MASKA CLEFT 4,05 M ZLATÁ</v>
      </c>
      <c r="C2495" s="185" t="e">
        <f t="shared" si="77"/>
        <v>#N/A</v>
      </c>
      <c r="D2495" s="409" t="s">
        <v>2674</v>
      </c>
      <c r="E2495" s="409" t="s">
        <v>5421</v>
      </c>
      <c r="F2495" s="409" t="s">
        <v>5422</v>
      </c>
      <c r="G2495" s="409" t="s">
        <v>5423</v>
      </c>
      <c r="H2495" s="465" t="e">
        <v>#N/A</v>
      </c>
      <c r="I2495" s="465" t="e">
        <v>#N/A</v>
      </c>
      <c r="J2495" s="465" t="e">
        <v>#N/A</v>
      </c>
      <c r="K2495" s="465" t="e">
        <v>#N/A</v>
      </c>
      <c r="L2495" s="464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úchytová lišta 2,7m oliva</v>
      </c>
      <c r="C2496" s="185">
        <f t="shared" si="77"/>
        <v>8.4573499999999999</v>
      </c>
      <c r="D2496" s="409" t="s">
        <v>2675</v>
      </c>
      <c r="E2496" s="409" t="s">
        <v>3840</v>
      </c>
      <c r="F2496" s="409" t="s">
        <v>2675</v>
      </c>
      <c r="G2496" s="409" t="s">
        <v>3841</v>
      </c>
      <c r="H2496" s="465">
        <v>235.21811</v>
      </c>
      <c r="I2496" s="465">
        <v>8.4573499999999999</v>
      </c>
      <c r="J2496" s="465">
        <v>29.08267</v>
      </c>
      <c r="K2496" s="465">
        <v>3370.7863000000002</v>
      </c>
      <c r="L2496" s="464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úchytová lišta 2,7m strieborná</v>
      </c>
      <c r="C2497" s="185">
        <f t="shared" si="77"/>
        <v>6.7658800000000001</v>
      </c>
      <c r="D2497" s="409" t="s">
        <v>2676</v>
      </c>
      <c r="E2497" s="409" t="s">
        <v>3762</v>
      </c>
      <c r="F2497" s="409" t="s">
        <v>3763</v>
      </c>
      <c r="G2497" s="409" t="s">
        <v>3764</v>
      </c>
      <c r="H2497" s="465">
        <v>188.17447000000001</v>
      </c>
      <c r="I2497" s="465">
        <v>6.7658800000000001</v>
      </c>
      <c r="J2497" s="465">
        <v>23.26613</v>
      </c>
      <c r="K2497" s="465">
        <v>2696.62887</v>
      </c>
      <c r="L2497" s="464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- horná vodiaca lišta 1,7m zlatá</v>
      </c>
      <c r="C2498" s="185">
        <f t="shared" si="77"/>
        <v>9.6283600000000007</v>
      </c>
      <c r="D2498" s="409" t="s">
        <v>2677</v>
      </c>
      <c r="E2498" s="409" t="s">
        <v>3866</v>
      </c>
      <c r="F2498" s="409" t="s">
        <v>3867</v>
      </c>
      <c r="G2498" s="409" t="s">
        <v>3868</v>
      </c>
      <c r="H2498" s="465">
        <v>267.78674999999998</v>
      </c>
      <c r="I2498" s="465">
        <v>9.6283600000000007</v>
      </c>
      <c r="J2498" s="465">
        <v>50.755200000000002</v>
      </c>
      <c r="K2498" s="465">
        <v>3837.5103100000001</v>
      </c>
      <c r="L2498" s="464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horná vodiaca lišta 2,35m zlatá</v>
      </c>
      <c r="C2499" s="185">
        <f t="shared" si="77"/>
        <v>13.349589999999999</v>
      </c>
      <c r="D2499" s="409" t="s">
        <v>2678</v>
      </c>
      <c r="E2499" s="409" t="s">
        <v>5335</v>
      </c>
      <c r="F2499" s="409" t="s">
        <v>5336</v>
      </c>
      <c r="G2499" s="409" t="s">
        <v>5337</v>
      </c>
      <c r="H2499" s="465">
        <v>371.28271000000001</v>
      </c>
      <c r="I2499" s="465">
        <v>13.349589999999999</v>
      </c>
      <c r="J2499" s="465">
        <v>70.186199999999999</v>
      </c>
      <c r="K2499" s="465">
        <v>5320.65607</v>
      </c>
      <c r="L2499" s="464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horná vodiaca lišta 3m zlatá</v>
      </c>
      <c r="C2500" s="185">
        <f t="shared" ref="C2500:C2563" si="79">IF($A$2=1,H2500,IF($A$2=2,I2500,IF($A$2=3,J2500,IF($A$2=4,K2500,IF($A$2&gt;4,O2500,"zadat jazyk")))))</f>
        <v>17.044799999999999</v>
      </c>
      <c r="D2500" s="409" t="s">
        <v>2679</v>
      </c>
      <c r="E2500" s="409" t="s">
        <v>5354</v>
      </c>
      <c r="F2500" s="409" t="s">
        <v>5355</v>
      </c>
      <c r="G2500" s="409" t="s">
        <v>5356</v>
      </c>
      <c r="H2500" s="465">
        <v>474.05493999999999</v>
      </c>
      <c r="I2500" s="465">
        <v>17.044799999999999</v>
      </c>
      <c r="J2500" s="465">
        <v>89.566199999999995</v>
      </c>
      <c r="K2500" s="465">
        <v>6793.4306200000001</v>
      </c>
      <c r="L2500" s="464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spodná krycia lišta 2,35m 10mm zlatá</v>
      </c>
      <c r="C2501" s="185">
        <f t="shared" si="79"/>
        <v>24.72147</v>
      </c>
      <c r="D2501" s="409" t="s">
        <v>2680</v>
      </c>
      <c r="E2501" s="409" t="s">
        <v>4508</v>
      </c>
      <c r="F2501" s="409" t="s">
        <v>4509</v>
      </c>
      <c r="G2501" s="409" t="s">
        <v>4510</v>
      </c>
      <c r="H2501" s="465">
        <v>687.56057999999996</v>
      </c>
      <c r="I2501" s="465">
        <v>24.72147</v>
      </c>
      <c r="J2501" s="465">
        <v>85.010859999999994</v>
      </c>
      <c r="K2501" s="465">
        <v>9853.0670499999997</v>
      </c>
      <c r="L2501" s="464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spodná krycia lišta 1,7m 10mm zlatá</v>
      </c>
      <c r="C2502" s="185">
        <f t="shared" si="79"/>
        <v>17.929569999999998</v>
      </c>
      <c r="D2502" s="409" t="s">
        <v>2681</v>
      </c>
      <c r="E2502" s="409" t="s">
        <v>5503</v>
      </c>
      <c r="F2502" s="409" t="s">
        <v>5504</v>
      </c>
      <c r="G2502" s="409" t="s">
        <v>5505</v>
      </c>
      <c r="H2502" s="465">
        <v>498.66235999999998</v>
      </c>
      <c r="I2502" s="465">
        <v>17.929569999999998</v>
      </c>
      <c r="J2502" s="465">
        <v>61.655250000000002</v>
      </c>
      <c r="K2502" s="465">
        <v>7146.06657</v>
      </c>
      <c r="L2502" s="464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spodná krycia lišta 3m 10mm zlatá</v>
      </c>
      <c r="C2503" s="185">
        <f t="shared" si="79"/>
        <v>31.64348</v>
      </c>
      <c r="D2503" s="409" t="s">
        <v>2682</v>
      </c>
      <c r="E2503" s="409" t="s">
        <v>5536</v>
      </c>
      <c r="F2503" s="409" t="s">
        <v>5537</v>
      </c>
      <c r="G2503" s="409" t="s">
        <v>5538</v>
      </c>
      <c r="H2503" s="465">
        <v>880.07754999999997</v>
      </c>
      <c r="I2503" s="465">
        <v>31.64348</v>
      </c>
      <c r="J2503" s="465">
        <v>108.81391000000001</v>
      </c>
      <c r="K2503" s="465">
        <v>12611.92596</v>
      </c>
      <c r="L2503" s="464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spojovacia lišta H10 3m zlatá</v>
      </c>
      <c r="C2504" s="185">
        <f t="shared" si="79"/>
        <v>15.22322</v>
      </c>
      <c r="D2504" s="409" t="s">
        <v>2683</v>
      </c>
      <c r="E2504" s="409" t="s">
        <v>4292</v>
      </c>
      <c r="F2504" s="409" t="s">
        <v>4293</v>
      </c>
      <c r="G2504" s="409" t="s">
        <v>4294</v>
      </c>
      <c r="H2504" s="465">
        <v>423.39258000000001</v>
      </c>
      <c r="I2504" s="465">
        <v>15.22322</v>
      </c>
      <c r="J2504" s="465">
        <v>56.915999999999997</v>
      </c>
      <c r="K2504" s="465">
        <v>6067.4151700000002</v>
      </c>
      <c r="L2504" s="464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profil "U" pre DTD 18mm 3m striebor</v>
      </c>
      <c r="C2505" s="185">
        <f t="shared" si="79"/>
        <v>4.7621399999999996</v>
      </c>
      <c r="D2505" s="409" t="s">
        <v>2684</v>
      </c>
      <c r="E2505" s="409" t="s">
        <v>3674</v>
      </c>
      <c r="F2505" s="409" t="s">
        <v>1215</v>
      </c>
      <c r="G2505" s="409" t="s">
        <v>3675</v>
      </c>
      <c r="H2505" s="465">
        <v>132.44587000000001</v>
      </c>
      <c r="I2505" s="465">
        <v>4.7621399999999996</v>
      </c>
      <c r="J2505" s="465">
        <v>16.375779999999999</v>
      </c>
      <c r="K2505" s="465">
        <v>1898.0117499999999</v>
      </c>
      <c r="L2505" s="464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Tytan úch.lišta 18mm 2,7m oliva</v>
      </c>
      <c r="C2506" s="185">
        <f t="shared" si="79"/>
        <v>18.892410000000002</v>
      </c>
      <c r="D2506" s="409" t="s">
        <v>2685</v>
      </c>
      <c r="E2506" s="409" t="s">
        <v>5609</v>
      </c>
      <c r="F2506" s="409" t="s">
        <v>1200</v>
      </c>
      <c r="G2506" s="409" t="s">
        <v>5610</v>
      </c>
      <c r="H2506" s="465">
        <v>525.44104000000004</v>
      </c>
      <c r="I2506" s="465">
        <v>18.892410000000002</v>
      </c>
      <c r="J2506" s="465">
        <v>72.504180000000005</v>
      </c>
      <c r="K2506" s="465">
        <v>7529.8176999999996</v>
      </c>
      <c r="L2506" s="464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Tytan úch.lišta 18mm 2,7m strieborná</v>
      </c>
      <c r="C2507" s="185">
        <f t="shared" si="79"/>
        <v>16.342189999999999</v>
      </c>
      <c r="D2507" s="409" t="s">
        <v>2686</v>
      </c>
      <c r="E2507" s="409" t="s">
        <v>5611</v>
      </c>
      <c r="F2507" s="409" t="s">
        <v>1199</v>
      </c>
      <c r="G2507" s="409" t="s">
        <v>5612</v>
      </c>
      <c r="H2507" s="465">
        <v>448.68088</v>
      </c>
      <c r="I2507" s="465">
        <v>16.342189999999999</v>
      </c>
      <c r="J2507" s="465">
        <v>67.83381</v>
      </c>
      <c r="K2507" s="465">
        <v>6228.8768799999998</v>
      </c>
      <c r="L2507" s="464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str">
        <f t="shared" si="78"/>
        <v>SEVROLL 00024 profil "U" Decor pre lamino 16mm 3m strieborný</v>
      </c>
      <c r="C2508" s="185" t="e">
        <f t="shared" si="79"/>
        <v>#N/A</v>
      </c>
      <c r="D2508" s="409" t="s">
        <v>2687</v>
      </c>
      <c r="E2508" s="409" t="s">
        <v>3829</v>
      </c>
      <c r="F2508" s="409" t="s">
        <v>3830</v>
      </c>
      <c r="G2508" s="409" t="s">
        <v>3831</v>
      </c>
      <c r="H2508" s="465" t="e">
        <v>#N/A</v>
      </c>
      <c r="I2508" s="465" t="e">
        <v>#N/A</v>
      </c>
      <c r="J2508" s="465" t="e">
        <v>#N/A</v>
      </c>
      <c r="K2508" s="465" t="e">
        <v>#N/A</v>
      </c>
      <c r="L2508" s="464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161 U PROFna DTD 18mm-3m, OLIVA</v>
      </c>
      <c r="C2509" s="185">
        <f t="shared" si="79"/>
        <v>5.9591799999999999</v>
      </c>
      <c r="D2509" s="409" t="s">
        <v>2688</v>
      </c>
      <c r="E2509" s="409" t="s">
        <v>3756</v>
      </c>
      <c r="F2509" s="409" t="s">
        <v>3757</v>
      </c>
      <c r="G2509" s="409" t="s">
        <v>3758</v>
      </c>
      <c r="H2509" s="465">
        <v>165.73829000000001</v>
      </c>
      <c r="I2509" s="465">
        <v>5.9591799999999999</v>
      </c>
      <c r="J2509" s="465">
        <v>20.492090000000001</v>
      </c>
      <c r="K2509" s="465">
        <v>2375.10779</v>
      </c>
      <c r="L2509" s="464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profil "U" pre lamino 18mm 3m zlatá</v>
      </c>
      <c r="C2510" s="185">
        <f t="shared" si="79"/>
        <v>5.9591799999999999</v>
      </c>
      <c r="D2510" s="409" t="s">
        <v>2689</v>
      </c>
      <c r="E2510" s="409" t="s">
        <v>3759</v>
      </c>
      <c r="F2510" s="409" t="s">
        <v>3760</v>
      </c>
      <c r="G2510" s="409" t="s">
        <v>3761</v>
      </c>
      <c r="H2510" s="465">
        <v>165.73829000000001</v>
      </c>
      <c r="I2510" s="465">
        <v>5.9591799999999999</v>
      </c>
      <c r="J2510" s="465">
        <v>20.492090000000001</v>
      </c>
      <c r="K2510" s="465">
        <v>2375.10779</v>
      </c>
      <c r="L2510" s="464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dorazový kartáč samolep. 4,8x4mm</v>
      </c>
      <c r="C2511" s="185">
        <f t="shared" si="79"/>
        <v>0.18564</v>
      </c>
      <c r="D2511" s="409" t="s">
        <v>2690</v>
      </c>
      <c r="E2511" s="409" t="s">
        <v>5113</v>
      </c>
      <c r="F2511" s="409" t="s">
        <v>1258</v>
      </c>
      <c r="G2511" s="409" t="s">
        <v>5114</v>
      </c>
      <c r="H2511" s="465">
        <v>5.7114900000000004</v>
      </c>
      <c r="I2511" s="465">
        <v>0.18564</v>
      </c>
      <c r="J2511" s="465">
        <v>0.76500000000000001</v>
      </c>
      <c r="K2511" s="465">
        <v>55.272480000000002</v>
      </c>
      <c r="L2511" s="464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spojovacia lišta H30 3m oliva</v>
      </c>
      <c r="C2512" s="185">
        <f t="shared" si="79"/>
        <v>27.45384</v>
      </c>
      <c r="D2512" s="409" t="s">
        <v>2691</v>
      </c>
      <c r="E2512" s="409" t="s">
        <v>4698</v>
      </c>
      <c r="F2512" s="409" t="s">
        <v>4699</v>
      </c>
      <c r="G2512" s="409" t="s">
        <v>2691</v>
      </c>
      <c r="H2512" s="465">
        <v>763.55412999999999</v>
      </c>
      <c r="I2512" s="465">
        <v>27.45384</v>
      </c>
      <c r="J2512" s="465">
        <v>94.406800000000004</v>
      </c>
      <c r="K2512" s="465">
        <v>10942.09044</v>
      </c>
      <c r="L2512" s="464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253S-SPOJ.LIŠTA H-30mm STR 3m</v>
      </c>
      <c r="C2513" s="185">
        <f t="shared" si="79"/>
        <v>22.509550000000001</v>
      </c>
      <c r="D2513" s="409" t="s">
        <v>2692</v>
      </c>
      <c r="E2513" s="409" t="s">
        <v>4628</v>
      </c>
      <c r="F2513" s="409" t="s">
        <v>4629</v>
      </c>
      <c r="G2513" s="409" t="s">
        <v>2692</v>
      </c>
      <c r="H2513" s="465">
        <v>626.04201999999998</v>
      </c>
      <c r="I2513" s="465">
        <v>22.509550000000001</v>
      </c>
      <c r="J2513" s="465">
        <v>78.601200000000006</v>
      </c>
      <c r="K2513" s="465">
        <v>8971.4770399999998</v>
      </c>
      <c r="L2513" s="464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278 UHOLNÍK K2 1,70M STRIEBORNÁ</v>
      </c>
      <c r="C2514" s="185">
        <f t="shared" si="79"/>
        <v>3.4349799999999999</v>
      </c>
      <c r="D2514" s="409" t="s">
        <v>2693</v>
      </c>
      <c r="E2514" s="409" t="s">
        <v>3623</v>
      </c>
      <c r="F2514" s="409" t="s">
        <v>3624</v>
      </c>
      <c r="G2514" s="409" t="s">
        <v>2693</v>
      </c>
      <c r="H2514" s="465">
        <v>95.534729999999996</v>
      </c>
      <c r="I2514" s="465">
        <v>3.4349799999999999</v>
      </c>
      <c r="J2514" s="465">
        <v>12.046200000000001</v>
      </c>
      <c r="K2514" s="465">
        <v>1369.0576699999999</v>
      </c>
      <c r="L2514" s="464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278 UHOLNÍK K2 1,70M OLIVOVÁ</v>
      </c>
      <c r="C2515" s="185">
        <f t="shared" si="79"/>
        <v>4.29373</v>
      </c>
      <c r="D2515" s="409" t="s">
        <v>2694</v>
      </c>
      <c r="E2515" s="409" t="s">
        <v>3607</v>
      </c>
      <c r="F2515" s="409" t="s">
        <v>3608</v>
      </c>
      <c r="G2515" s="409" t="s">
        <v>3609</v>
      </c>
      <c r="H2515" s="465">
        <v>119.41843</v>
      </c>
      <c r="I2515" s="465">
        <v>4.29373</v>
      </c>
      <c r="J2515" s="465">
        <v>14.76505</v>
      </c>
      <c r="K2515" s="465">
        <v>1711.3223800000001</v>
      </c>
      <c r="L2515" s="464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uholník K2 Decor 2,35m strieborná</v>
      </c>
      <c r="C2516" s="185">
        <f t="shared" si="79"/>
        <v>4.7621399999999996</v>
      </c>
      <c r="D2516" s="409" t="s">
        <v>2695</v>
      </c>
      <c r="E2516" s="409" t="s">
        <v>3731</v>
      </c>
      <c r="F2516" s="409" t="s">
        <v>3732</v>
      </c>
      <c r="G2516" s="409" t="s">
        <v>2695</v>
      </c>
      <c r="H2516" s="465">
        <v>132.44587000000001</v>
      </c>
      <c r="I2516" s="465">
        <v>4.7621399999999996</v>
      </c>
      <c r="J2516" s="465">
        <v>16.666799999999999</v>
      </c>
      <c r="K2516" s="465">
        <v>1898.0117499999999</v>
      </c>
      <c r="L2516" s="464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str">
        <f t="shared" si="78"/>
        <v>SEVROLL uholník K2 Decor 2,35m zlatá</v>
      </c>
      <c r="C2517" s="185" t="e">
        <f t="shared" si="79"/>
        <v>#N/A</v>
      </c>
      <c r="D2517" s="409" t="s">
        <v>2696</v>
      </c>
      <c r="E2517" s="409" t="s">
        <v>3701</v>
      </c>
      <c r="F2517" s="409" t="s">
        <v>1091</v>
      </c>
      <c r="G2517" s="409" t="s">
        <v>3702</v>
      </c>
      <c r="H2517" s="465" t="e">
        <v>#N/A</v>
      </c>
      <c r="I2517" s="465" t="e">
        <v>#N/A</v>
      </c>
      <c r="J2517" s="465" t="e">
        <v>#N/A</v>
      </c>
      <c r="K2517" s="465" t="e">
        <v>#N/A</v>
      </c>
      <c r="L2517" s="464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uholník K2 Decor 2,35m oliva</v>
      </c>
      <c r="C2518" s="185">
        <f t="shared" si="79"/>
        <v>5.9591799999999999</v>
      </c>
      <c r="D2518" s="409" t="s">
        <v>2697</v>
      </c>
      <c r="E2518" s="409" t="s">
        <v>3729</v>
      </c>
      <c r="F2518" s="409" t="s">
        <v>3730</v>
      </c>
      <c r="G2518" s="409" t="s">
        <v>2697</v>
      </c>
      <c r="H2518" s="465">
        <v>165.73829000000001</v>
      </c>
      <c r="I2518" s="465">
        <v>5.9591799999999999</v>
      </c>
      <c r="J2518" s="465">
        <v>20.492090000000001</v>
      </c>
      <c r="K2518" s="465">
        <v>2375.10779</v>
      </c>
      <c r="L2518" s="464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uholník K2 Decor 3m strieborná</v>
      </c>
      <c r="C2519" s="185">
        <f t="shared" si="79"/>
        <v>6.0892900000000001</v>
      </c>
      <c r="D2519" s="409" t="s">
        <v>2698</v>
      </c>
      <c r="E2519" s="409" t="s">
        <v>3822</v>
      </c>
      <c r="F2519" s="409" t="s">
        <v>3823</v>
      </c>
      <c r="G2519" s="409" t="s">
        <v>2698</v>
      </c>
      <c r="H2519" s="465">
        <v>169.35702000000001</v>
      </c>
      <c r="I2519" s="465">
        <v>6.0892900000000001</v>
      </c>
      <c r="J2519" s="465">
        <v>21.266999999999999</v>
      </c>
      <c r="K2519" s="465">
        <v>2426.9658300000001</v>
      </c>
      <c r="L2519" s="464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uholník K2 Decor 3m oliva</v>
      </c>
      <c r="C2520" s="185">
        <f t="shared" si="79"/>
        <v>7.5725800000000003</v>
      </c>
      <c r="D2520" s="409" t="s">
        <v>2699</v>
      </c>
      <c r="E2520" s="409" t="s">
        <v>3820</v>
      </c>
      <c r="F2520" s="409" t="s">
        <v>3821</v>
      </c>
      <c r="G2520" s="409" t="s">
        <v>2699</v>
      </c>
      <c r="H2520" s="465">
        <v>210.61066</v>
      </c>
      <c r="I2520" s="465">
        <v>7.5725800000000003</v>
      </c>
      <c r="J2520" s="465">
        <v>26.04017</v>
      </c>
      <c r="K2520" s="465">
        <v>3018.1499800000001</v>
      </c>
      <c r="L2520" s="464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spojovacia lišta H18 3m strieborná</v>
      </c>
      <c r="C2521" s="185">
        <f t="shared" si="79"/>
        <v>11.996420000000001</v>
      </c>
      <c r="D2521" s="409" t="s">
        <v>2700</v>
      </c>
      <c r="E2521" s="409" t="s">
        <v>5588</v>
      </c>
      <c r="F2521" s="409" t="s">
        <v>5589</v>
      </c>
      <c r="G2521" s="409" t="s">
        <v>2700</v>
      </c>
      <c r="H2521" s="465">
        <v>333.64782000000002</v>
      </c>
      <c r="I2521" s="465">
        <v>11.996420000000001</v>
      </c>
      <c r="J2521" s="465">
        <v>48.042000000000002</v>
      </c>
      <c r="K2521" s="465">
        <v>4781.3303900000001</v>
      </c>
      <c r="L2521" s="464" t="s">
        <v>695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spojovacia lišta H18 3m zlatá</v>
      </c>
      <c r="C2522" s="185">
        <f t="shared" si="79"/>
        <v>14.98902</v>
      </c>
      <c r="D2522" s="409" t="s">
        <v>2701</v>
      </c>
      <c r="E2522" s="409" t="s">
        <v>5590</v>
      </c>
      <c r="F2522" s="409" t="s">
        <v>5591</v>
      </c>
      <c r="G2522" s="409" t="s">
        <v>2701</v>
      </c>
      <c r="H2522" s="465">
        <v>416.87885</v>
      </c>
      <c r="I2522" s="465">
        <v>14.98902</v>
      </c>
      <c r="J2522" s="465">
        <v>52.856400000000001</v>
      </c>
      <c r="K2522" s="465">
        <v>5974.0702899999997</v>
      </c>
      <c r="L2522" s="464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spojovacia lišta H18 3m oliva</v>
      </c>
      <c r="C2523" s="185">
        <f t="shared" si="79"/>
        <v>14.98902</v>
      </c>
      <c r="D2523" s="409" t="s">
        <v>2702</v>
      </c>
      <c r="E2523" s="409" t="s">
        <v>5583</v>
      </c>
      <c r="F2523" s="409" t="s">
        <v>1204</v>
      </c>
      <c r="G2523" s="409" t="s">
        <v>2702</v>
      </c>
      <c r="H2523" s="465">
        <v>416.87885</v>
      </c>
      <c r="I2523" s="465">
        <v>14.98902</v>
      </c>
      <c r="J2523" s="465">
        <v>52.856400000000001</v>
      </c>
      <c r="K2523" s="465">
        <v>5974.0702899999997</v>
      </c>
      <c r="L2523" s="464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spojovacia lišta T Decor 3m strieborná</v>
      </c>
      <c r="C2524" s="185">
        <f t="shared" si="79"/>
        <v>9.3160900000000009</v>
      </c>
      <c r="D2524" s="409" t="s">
        <v>2703</v>
      </c>
      <c r="E2524" s="409" t="s">
        <v>3982</v>
      </c>
      <c r="F2524" s="409" t="s">
        <v>3983</v>
      </c>
      <c r="G2524" s="409" t="s">
        <v>2703</v>
      </c>
      <c r="H2524" s="465">
        <v>259.10178000000002</v>
      </c>
      <c r="I2524" s="465">
        <v>9.3160900000000009</v>
      </c>
      <c r="J2524" s="465">
        <v>34.210799999999999</v>
      </c>
      <c r="K2524" s="465">
        <v>3713.05062</v>
      </c>
      <c r="L2524" s="464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01373 spojovacia lišta T Decor 3m oliva</v>
      </c>
      <c r="C2525" s="185">
        <f t="shared" si="79"/>
        <v>11.65812</v>
      </c>
      <c r="D2525" s="409" t="s">
        <v>2704</v>
      </c>
      <c r="E2525" s="409" t="s">
        <v>4117</v>
      </c>
      <c r="F2525" s="409" t="s">
        <v>4118</v>
      </c>
      <c r="G2525" s="409" t="s">
        <v>2704</v>
      </c>
      <c r="H2525" s="465">
        <v>324.23910000000001</v>
      </c>
      <c r="I2525" s="465">
        <v>11.65812</v>
      </c>
      <c r="J2525" s="465">
        <v>40.08934</v>
      </c>
      <c r="K2525" s="465">
        <v>4646.4990600000001</v>
      </c>
      <c r="L2525" s="464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 00036L profil "U" Decor 18mm 3m strieborná</v>
      </c>
      <c r="C2526" s="185">
        <f t="shared" si="79"/>
        <v>7.1301899999999998</v>
      </c>
      <c r="D2526" s="409" t="s">
        <v>2705</v>
      </c>
      <c r="E2526" s="409" t="s">
        <v>3844</v>
      </c>
      <c r="F2526" s="409" t="s">
        <v>3845</v>
      </c>
      <c r="G2526" s="409" t="s">
        <v>2705</v>
      </c>
      <c r="H2526" s="465">
        <v>198.30694</v>
      </c>
      <c r="I2526" s="465">
        <v>7.1301899999999998</v>
      </c>
      <c r="J2526" s="465">
        <v>24.518930000000001</v>
      </c>
      <c r="K2526" s="465">
        <v>2841.8317999999999</v>
      </c>
      <c r="L2526" s="464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 "U" Decor 18mm 3m oliva</v>
      </c>
      <c r="C2527" s="185">
        <f t="shared" si="79"/>
        <v>8.9257500000000007</v>
      </c>
      <c r="D2527" s="409" t="s">
        <v>2706</v>
      </c>
      <c r="E2527" s="409" t="s">
        <v>1110</v>
      </c>
      <c r="F2527" s="409" t="s">
        <v>2706</v>
      </c>
      <c r="G2527" s="409" t="s">
        <v>3895</v>
      </c>
      <c r="H2527" s="465">
        <v>248.24555000000001</v>
      </c>
      <c r="I2527" s="465">
        <v>8.9257500000000007</v>
      </c>
      <c r="J2527" s="465">
        <v>30.6934</v>
      </c>
      <c r="K2527" s="465">
        <v>3557.4756699999998</v>
      </c>
      <c r="L2527" s="464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protiprach.kartáč zásuvný 4,8x13mm</v>
      </c>
      <c r="C2528" s="185">
        <f t="shared" si="79"/>
        <v>0.20741000000000001</v>
      </c>
      <c r="D2528" s="409" t="s">
        <v>2707</v>
      </c>
      <c r="E2528" s="409" t="s">
        <v>5472</v>
      </c>
      <c r="F2528" s="409" t="s">
        <v>1213</v>
      </c>
      <c r="G2528" s="409" t="s">
        <v>5473</v>
      </c>
      <c r="H2528" s="465">
        <v>6.3811799999999996</v>
      </c>
      <c r="I2528" s="465">
        <v>0.20741000000000001</v>
      </c>
      <c r="J2528" s="465">
        <v>0.80579999999999996</v>
      </c>
      <c r="K2528" s="465">
        <v>61.753349999999998</v>
      </c>
      <c r="L2528" s="464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(Astin) Elegant úch.lišta 2,7m str. (22/1)</v>
      </c>
      <c r="C2529" s="185">
        <f t="shared" si="79"/>
        <v>19.595020000000002</v>
      </c>
      <c r="D2529" s="409" t="s">
        <v>2708</v>
      </c>
      <c r="E2529" s="409" t="s">
        <v>5650</v>
      </c>
      <c r="F2529" s="409" t="s">
        <v>5651</v>
      </c>
      <c r="G2529" s="409" t="s">
        <v>5652</v>
      </c>
      <c r="H2529" s="465">
        <v>544.98221999999998</v>
      </c>
      <c r="I2529" s="465">
        <v>19.595020000000002</v>
      </c>
      <c r="J2529" s="465">
        <v>81.096440000000001</v>
      </c>
      <c r="K2529" s="465">
        <v>7809.8519699999997</v>
      </c>
      <c r="L2529" s="464" t="s">
        <v>538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(Astin) Orient úch.lišta 2,7m str. (32/1)</v>
      </c>
      <c r="C2530" s="185">
        <f t="shared" si="79"/>
        <v>19.673089999999998</v>
      </c>
      <c r="D2530" s="409" t="s">
        <v>2709</v>
      </c>
      <c r="E2530" s="409" t="s">
        <v>5638</v>
      </c>
      <c r="F2530" s="409" t="s">
        <v>5639</v>
      </c>
      <c r="G2530" s="409" t="s">
        <v>5640</v>
      </c>
      <c r="H2530" s="465">
        <v>547.15347999999994</v>
      </c>
      <c r="I2530" s="465">
        <v>19.673089999999998</v>
      </c>
      <c r="J2530" s="465">
        <v>81.387789999999995</v>
      </c>
      <c r="K2530" s="465">
        <v>7840.9672099999998</v>
      </c>
      <c r="L2530" s="464" t="s">
        <v>538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(Astin)-HORNÝ PROFIL 1,8M HLINÍK (32/1)</v>
      </c>
      <c r="C2531" s="185">
        <f t="shared" si="79"/>
        <v>21.260459999999998</v>
      </c>
      <c r="D2531" s="409" t="s">
        <v>2710</v>
      </c>
      <c r="E2531" s="409" t="s">
        <v>5647</v>
      </c>
      <c r="F2531" s="409" t="s">
        <v>5648</v>
      </c>
      <c r="G2531" s="409" t="s">
        <v>5649</v>
      </c>
      <c r="H2531" s="465">
        <v>591.30210999999997</v>
      </c>
      <c r="I2531" s="465">
        <v>21.260459999999998</v>
      </c>
      <c r="J2531" s="465">
        <v>83.524460000000005</v>
      </c>
      <c r="K2531" s="465">
        <v>8473.6377699999994</v>
      </c>
      <c r="L2531" s="464" t="s">
        <v>538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(Astin)-HORNÝ PROFIL 2,7M HLINÍK (32/1)</v>
      </c>
      <c r="C2532" s="185">
        <f t="shared" si="79"/>
        <v>36.691870000000002</v>
      </c>
      <c r="D2532" s="409" t="s">
        <v>2711</v>
      </c>
      <c r="E2532" s="409" t="s">
        <v>5644</v>
      </c>
      <c r="F2532" s="409" t="s">
        <v>5645</v>
      </c>
      <c r="G2532" s="409" t="s">
        <v>5646</v>
      </c>
      <c r="H2532" s="465">
        <v>1020.48465</v>
      </c>
      <c r="I2532" s="465">
        <v>36.691870000000002</v>
      </c>
      <c r="J2532" s="465">
        <v>144.12826999999999</v>
      </c>
      <c r="K2532" s="465">
        <v>14624.02583</v>
      </c>
      <c r="L2532" s="464" t="s">
        <v>538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(Astin)-HORNÝ PROFIL 3,6M HLINÍK (32/1)</v>
      </c>
      <c r="C2533" s="185">
        <f t="shared" si="79"/>
        <v>44.862960000000001</v>
      </c>
      <c r="D2533" s="409" t="s">
        <v>2712</v>
      </c>
      <c r="E2533" s="409" t="s">
        <v>5641</v>
      </c>
      <c r="F2533" s="409" t="s">
        <v>5642</v>
      </c>
      <c r="G2533" s="409" t="s">
        <v>5643</v>
      </c>
      <c r="H2533" s="465">
        <v>1247.7415100000001</v>
      </c>
      <c r="I2533" s="465">
        <v>44.862960000000001</v>
      </c>
      <c r="J2533" s="465">
        <v>176.27547000000001</v>
      </c>
      <c r="K2533" s="465">
        <v>17880.723620000001</v>
      </c>
      <c r="L2533" s="464" t="s">
        <v>539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(Astin)-SPODNÝ PROFIL 1,8M HLINÍK (22/1)</v>
      </c>
      <c r="C2534" s="185">
        <f t="shared" si="79"/>
        <v>10.929489999999999</v>
      </c>
      <c r="D2534" s="409" t="s">
        <v>2713</v>
      </c>
      <c r="E2534" s="409" t="s">
        <v>5635</v>
      </c>
      <c r="F2534" s="409" t="s">
        <v>5636</v>
      </c>
      <c r="G2534" s="409" t="s">
        <v>5637</v>
      </c>
      <c r="H2534" s="465">
        <v>303.97415000000001</v>
      </c>
      <c r="I2534" s="465">
        <v>10.929489999999999</v>
      </c>
      <c r="J2534" s="465">
        <v>45.359380000000002</v>
      </c>
      <c r="K2534" s="465">
        <v>4356.0927899999997</v>
      </c>
      <c r="L2534" s="464" t="s">
        <v>539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(Astin)-SPODNÝ PROFIL 2,7M HLINÍK (22/1)</v>
      </c>
      <c r="C2535" s="185">
        <f t="shared" si="79"/>
        <v>18.76229</v>
      </c>
      <c r="D2535" s="409" t="s">
        <v>2714</v>
      </c>
      <c r="E2535" s="409" t="s">
        <v>5632</v>
      </c>
      <c r="F2535" s="409" t="s">
        <v>5633</v>
      </c>
      <c r="G2535" s="409" t="s">
        <v>5634</v>
      </c>
      <c r="H2535" s="465">
        <v>521.82228999999995</v>
      </c>
      <c r="I2535" s="465">
        <v>18.76229</v>
      </c>
      <c r="J2535" s="465">
        <v>77.890870000000007</v>
      </c>
      <c r="K2535" s="465">
        <v>7477.9592599999996</v>
      </c>
      <c r="L2535" s="464" t="s">
        <v>538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(Astin)-SPODNÝ PROFIL 3,6M HLINÍK (22/1)</v>
      </c>
      <c r="C2536" s="185">
        <f t="shared" si="79"/>
        <v>22.17126</v>
      </c>
      <c r="D2536" s="409" t="s">
        <v>2715</v>
      </c>
      <c r="E2536" s="409" t="s">
        <v>5629</v>
      </c>
      <c r="F2536" s="409" t="s">
        <v>5630</v>
      </c>
      <c r="G2536" s="409" t="s">
        <v>5631</v>
      </c>
      <c r="H2536" s="465">
        <v>616.63327000000004</v>
      </c>
      <c r="I2536" s="465">
        <v>22.17126</v>
      </c>
      <c r="J2536" s="465">
        <v>92.052850000000007</v>
      </c>
      <c r="K2536" s="465">
        <v>8836.6453000000001</v>
      </c>
      <c r="L2536" s="464" t="s">
        <v>538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(Astin)-UHOLNÍK 1,8M HLINÍK (22/1)</v>
      </c>
      <c r="C2537" s="185">
        <f t="shared" si="79"/>
        <v>5.0744100000000003</v>
      </c>
      <c r="D2537" s="409" t="s">
        <v>2716</v>
      </c>
      <c r="E2537" s="409" t="s">
        <v>5623</v>
      </c>
      <c r="F2537" s="409" t="s">
        <v>5624</v>
      </c>
      <c r="G2537" s="409" t="s">
        <v>5625</v>
      </c>
      <c r="H2537" s="465">
        <v>141.13086999999999</v>
      </c>
      <c r="I2537" s="465">
        <v>5.0744100000000003</v>
      </c>
      <c r="J2537" s="465">
        <v>21.682020000000001</v>
      </c>
      <c r="K2537" s="465">
        <v>2022.4718600000001</v>
      </c>
      <c r="L2537" s="464" t="s">
        <v>539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(Astin) UHOLNÍK 2,7M str. (22/1)</v>
      </c>
      <c r="C2538" s="185">
        <f t="shared" si="79"/>
        <v>7.9629200000000004</v>
      </c>
      <c r="D2538" s="409" t="s">
        <v>2717</v>
      </c>
      <c r="E2538" s="409" t="s">
        <v>5620</v>
      </c>
      <c r="F2538" s="409" t="s">
        <v>5621</v>
      </c>
      <c r="G2538" s="409" t="s">
        <v>5622</v>
      </c>
      <c r="H2538" s="465">
        <v>221.46689000000001</v>
      </c>
      <c r="I2538" s="465">
        <v>7.9629200000000004</v>
      </c>
      <c r="J2538" s="465">
        <v>34.024070000000002</v>
      </c>
      <c r="K2538" s="465">
        <v>3173.7249099999999</v>
      </c>
      <c r="L2538" s="464" t="s">
        <v>538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(Astin)-UHOLNÍK 3,6M HLINÍK (22/1)</v>
      </c>
      <c r="C2539" s="185">
        <f t="shared" si="79"/>
        <v>10.487109999999999</v>
      </c>
      <c r="D2539" s="409" t="s">
        <v>2718</v>
      </c>
      <c r="E2539" s="409" t="s">
        <v>5617</v>
      </c>
      <c r="F2539" s="409" t="s">
        <v>5618</v>
      </c>
      <c r="G2539" s="409" t="s">
        <v>5619</v>
      </c>
      <c r="H2539" s="465">
        <v>291.67043000000001</v>
      </c>
      <c r="I2539" s="465">
        <v>10.487109999999999</v>
      </c>
      <c r="J2539" s="465">
        <v>44.809489999999997</v>
      </c>
      <c r="K2539" s="465">
        <v>4179.7746299999999</v>
      </c>
      <c r="L2539" s="464" t="s">
        <v>539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str">
        <f t="shared" si="78"/>
        <v>Sevroll (Astin) spojovací H08 profil 3m strieborná</v>
      </c>
      <c r="C2540" s="185" t="e">
        <f t="shared" si="79"/>
        <v>#N/A</v>
      </c>
      <c r="D2540" s="409" t="s">
        <v>2719</v>
      </c>
      <c r="E2540" s="409" t="s">
        <v>5626</v>
      </c>
      <c r="F2540" s="409" t="s">
        <v>5627</v>
      </c>
      <c r="G2540" s="409" t="s">
        <v>5628</v>
      </c>
      <c r="H2540" s="465" t="e">
        <v>#N/A</v>
      </c>
      <c r="I2540" s="465" t="e">
        <v>#N/A</v>
      </c>
      <c r="J2540" s="465" t="e">
        <v>#N/A</v>
      </c>
      <c r="K2540" s="465" t="e">
        <v>#N/A</v>
      </c>
      <c r="L2540" s="464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skrutka 2,5x18mm polguľatá hlava zinok biely</v>
      </c>
      <c r="C2541" s="185">
        <f t="shared" si="79"/>
        <v>2.9409999999999999E-2</v>
      </c>
      <c r="D2541" s="409" t="s">
        <v>2720</v>
      </c>
      <c r="E2541" s="409" t="s">
        <v>6148</v>
      </c>
      <c r="F2541" s="409" t="s">
        <v>6149</v>
      </c>
      <c r="G2541" s="409" t="s">
        <v>6150</v>
      </c>
      <c r="H2541" s="465">
        <v>0.86782999999999999</v>
      </c>
      <c r="I2541" s="465">
        <v>2.9409999999999999E-2</v>
      </c>
      <c r="J2541" s="465">
        <v>0.10996</v>
      </c>
      <c r="K2541" s="465">
        <v>12.05189</v>
      </c>
      <c r="L2541" s="464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KOMPLET pre ROZVR. DV. ZR18</v>
      </c>
      <c r="C2542" s="185">
        <f t="shared" si="79"/>
        <v>28.442699999999999</v>
      </c>
      <c r="D2542" s="409" t="s">
        <v>1529</v>
      </c>
      <c r="E2542" s="409" t="s">
        <v>1959</v>
      </c>
      <c r="F2542" s="409" t="s">
        <v>2182</v>
      </c>
      <c r="G2542" s="409" t="s">
        <v>2476</v>
      </c>
      <c r="H2542" s="465">
        <v>791.05652999999995</v>
      </c>
      <c r="I2542" s="465">
        <v>28.442699999999999</v>
      </c>
      <c r="J2542" s="465">
        <v>99.2256</v>
      </c>
      <c r="K2542" s="465">
        <v>11336.212799999999</v>
      </c>
      <c r="L2542" s="464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str">
        <f t="shared" si="78"/>
        <v>SEVROLL 214-426 Herkules 2 horné vedenie 2,4m alu</v>
      </c>
      <c r="C2543" s="185" t="e">
        <f t="shared" si="79"/>
        <v>#N/A</v>
      </c>
      <c r="D2543" s="409" t="s">
        <v>2721</v>
      </c>
      <c r="E2543" s="409" t="s">
        <v>4777</v>
      </c>
      <c r="F2543" s="409" t="s">
        <v>4778</v>
      </c>
      <c r="G2543" s="409" t="s">
        <v>4779</v>
      </c>
      <c r="H2543" s="465" t="e">
        <v>#N/A</v>
      </c>
      <c r="I2543" s="465" t="e">
        <v>#N/A</v>
      </c>
      <c r="J2543" s="465" t="e">
        <v>#N/A</v>
      </c>
      <c r="K2543" s="465" t="e">
        <v>#N/A</v>
      </c>
      <c r="L2543" s="464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str">
        <f t="shared" si="78"/>
        <v>SEVROLL 219-070 Herkules-synchro mechanika for 2x50kg</v>
      </c>
      <c r="C2544" s="185" t="e">
        <f t="shared" si="79"/>
        <v>#N/A</v>
      </c>
      <c r="D2544" s="409" t="s">
        <v>2722</v>
      </c>
      <c r="E2544" s="409" t="s">
        <v>4748</v>
      </c>
      <c r="F2544" s="409" t="s">
        <v>2722</v>
      </c>
      <c r="G2544" s="409" t="s">
        <v>4749</v>
      </c>
      <c r="H2544" s="465" t="e">
        <v>#N/A</v>
      </c>
      <c r="I2544" s="465" t="e">
        <v>#N/A</v>
      </c>
      <c r="J2544" s="465" t="e">
        <v>#N/A</v>
      </c>
      <c r="K2544" s="465" t="e">
        <v>#N/A</v>
      </c>
      <c r="L2544" s="464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str">
        <f t="shared" si="78"/>
        <v>SEVROLL 214-427 Herkules 2 horné vedenie 3m alu</v>
      </c>
      <c r="C2545" s="185" t="e">
        <f t="shared" si="79"/>
        <v>#N/A</v>
      </c>
      <c r="D2545" s="409" t="s">
        <v>2723</v>
      </c>
      <c r="E2545" s="409" t="s">
        <v>4891</v>
      </c>
      <c r="F2545" s="409" t="s">
        <v>4894</v>
      </c>
      <c r="G2545" s="409" t="s">
        <v>4895</v>
      </c>
      <c r="H2545" s="465" t="e">
        <v>#N/A</v>
      </c>
      <c r="I2545" s="465" t="e">
        <v>#N/A</v>
      </c>
      <c r="J2545" s="465" t="e">
        <v>#N/A</v>
      </c>
      <c r="K2545" s="465" t="e">
        <v>#N/A</v>
      </c>
      <c r="L2545" s="464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horné/spodné vedenie 1,8m strieborná</v>
      </c>
      <c r="C2546" s="185">
        <f t="shared" si="79"/>
        <v>7.93689</v>
      </c>
      <c r="D2546" s="409" t="s">
        <v>2724</v>
      </c>
      <c r="E2546" s="409" t="s">
        <v>3852</v>
      </c>
      <c r="F2546" s="409" t="s">
        <v>3853</v>
      </c>
      <c r="G2546" s="409" t="s">
        <v>3854</v>
      </c>
      <c r="H2546" s="465">
        <v>220.74315000000001</v>
      </c>
      <c r="I2546" s="465">
        <v>7.93689</v>
      </c>
      <c r="J2546" s="465">
        <v>29.631</v>
      </c>
      <c r="K2546" s="465">
        <v>3163.3533000000002</v>
      </c>
      <c r="L2546" s="464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horné vedenie 1,7m oliva</v>
      </c>
      <c r="C2547" s="185">
        <f t="shared" si="79"/>
        <v>18.24184</v>
      </c>
      <c r="D2547" s="409" t="s">
        <v>2725</v>
      </c>
      <c r="E2547" s="409" t="s">
        <v>4408</v>
      </c>
      <c r="F2547" s="409" t="s">
        <v>4409</v>
      </c>
      <c r="G2547" s="409" t="s">
        <v>4410</v>
      </c>
      <c r="H2547" s="465">
        <v>483.62245999999999</v>
      </c>
      <c r="I2547" s="465">
        <v>18.24184</v>
      </c>
      <c r="J2547" s="465">
        <v>62.236049999999999</v>
      </c>
      <c r="K2547" s="465">
        <v>7064.4789600000004</v>
      </c>
      <c r="L2547" s="464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horné vedenie 1,7m strieborná</v>
      </c>
      <c r="C2548" s="185">
        <f t="shared" si="79"/>
        <v>14.962999999999999</v>
      </c>
      <c r="D2548" s="409" t="s">
        <v>2726</v>
      </c>
      <c r="E2548" s="409" t="s">
        <v>4379</v>
      </c>
      <c r="F2548" s="409" t="s">
        <v>4380</v>
      </c>
      <c r="G2548" s="409" t="s">
        <v>2726</v>
      </c>
      <c r="H2548" s="465">
        <v>396.69461000000001</v>
      </c>
      <c r="I2548" s="465">
        <v>14.962999999999999</v>
      </c>
      <c r="J2548" s="465">
        <v>51.049550000000004</v>
      </c>
      <c r="K2548" s="465">
        <v>5794.68696</v>
      </c>
      <c r="L2548" s="464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horné vedenie 2,35m oliva</v>
      </c>
      <c r="C2549" s="185">
        <f t="shared" si="79"/>
        <v>25.189879999999999</v>
      </c>
      <c r="D2549" s="409" t="s">
        <v>2727</v>
      </c>
      <c r="E2549" s="409" t="s">
        <v>4623</v>
      </c>
      <c r="F2549" s="409" t="s">
        <v>4624</v>
      </c>
      <c r="G2549" s="409" t="s">
        <v>4625</v>
      </c>
      <c r="H2549" s="465">
        <v>667.82673999999997</v>
      </c>
      <c r="I2549" s="465">
        <v>25.189879999999999</v>
      </c>
      <c r="J2549" s="465">
        <v>85.940809999999999</v>
      </c>
      <c r="K2549" s="465">
        <v>9755.2292899999993</v>
      </c>
      <c r="L2549" s="464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horné vedenie 2,35m strieborná</v>
      </c>
      <c r="C2550" s="185">
        <f t="shared" si="79"/>
        <v>20.661940000000001</v>
      </c>
      <c r="D2550" s="409" t="s">
        <v>2728</v>
      </c>
      <c r="E2550" s="409" t="s">
        <v>4588</v>
      </c>
      <c r="F2550" s="409" t="s">
        <v>4589</v>
      </c>
      <c r="G2550" s="409" t="s">
        <v>2728</v>
      </c>
      <c r="H2550" s="465">
        <v>547.78349000000003</v>
      </c>
      <c r="I2550" s="465">
        <v>20.661940000000001</v>
      </c>
      <c r="J2550" s="465">
        <v>70.492769999999993</v>
      </c>
      <c r="K2550" s="465">
        <v>8001.7064600000003</v>
      </c>
      <c r="L2550" s="464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horné vedenie 3m oliva</v>
      </c>
      <c r="C2551" s="185">
        <f t="shared" si="79"/>
        <v>32.163930000000001</v>
      </c>
      <c r="D2551" s="409" t="s">
        <v>2729</v>
      </c>
      <c r="E2551" s="409" t="s">
        <v>4772</v>
      </c>
      <c r="F2551" s="409" t="s">
        <v>4773</v>
      </c>
      <c r="G2551" s="409" t="s">
        <v>4774</v>
      </c>
      <c r="H2551" s="465">
        <v>852.72091999999998</v>
      </c>
      <c r="I2551" s="465">
        <v>32.163930000000001</v>
      </c>
      <c r="J2551" s="465">
        <v>109.73432</v>
      </c>
      <c r="K2551" s="465">
        <v>12456.057290000001</v>
      </c>
      <c r="L2551" s="464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HORNÉ VEDENIE 3 m strieborná</v>
      </c>
      <c r="C2552" s="185">
        <f t="shared" si="79"/>
        <v>26.412939999999999</v>
      </c>
      <c r="D2552" s="409" t="s">
        <v>2730</v>
      </c>
      <c r="E2552" s="409" t="s">
        <v>4741</v>
      </c>
      <c r="F2552" s="409" t="s">
        <v>4742</v>
      </c>
      <c r="G2552" s="409" t="s">
        <v>2730</v>
      </c>
      <c r="H2552" s="465">
        <v>700.25221999999997</v>
      </c>
      <c r="I2552" s="465">
        <v>26.412939999999999</v>
      </c>
      <c r="J2552" s="465">
        <v>90.113560000000007</v>
      </c>
      <c r="K2552" s="465">
        <v>10228.88206</v>
      </c>
      <c r="L2552" s="464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ZR10 sada pre rozbalovacie dvere</v>
      </c>
      <c r="C2553" s="185">
        <f t="shared" si="79"/>
        <v>20.818079999999998</v>
      </c>
      <c r="D2553" s="409" t="s">
        <v>1701</v>
      </c>
      <c r="E2553" s="409" t="s">
        <v>2133</v>
      </c>
      <c r="F2553" s="409" t="s">
        <v>2303</v>
      </c>
      <c r="G2553" s="409" t="s">
        <v>2609</v>
      </c>
      <c r="H2553" s="465">
        <v>578.99838</v>
      </c>
      <c r="I2553" s="465">
        <v>20.818079999999998</v>
      </c>
      <c r="J2553" s="465">
        <v>72.572999999999993</v>
      </c>
      <c r="K2553" s="465">
        <v>8297.3196100000005</v>
      </c>
      <c r="L2553" s="464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SMART spodné vedenia 1,7 M OLIVA</v>
      </c>
      <c r="C2554" s="185">
        <f t="shared" si="79"/>
        <v>4.73611</v>
      </c>
      <c r="D2554" s="409" t="s">
        <v>2731</v>
      </c>
      <c r="E2554" s="409" t="s">
        <v>5476</v>
      </c>
      <c r="F2554" s="409" t="s">
        <v>5477</v>
      </c>
      <c r="G2554" s="409" t="s">
        <v>5478</v>
      </c>
      <c r="H2554" s="465">
        <v>131.72212999999999</v>
      </c>
      <c r="I2554" s="465">
        <v>4.73611</v>
      </c>
      <c r="J2554" s="465">
        <v>16.360800000000001</v>
      </c>
      <c r="K2554" s="465">
        <v>1887.64012</v>
      </c>
      <c r="L2554" s="464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SMART SPODNÉ VEDENIE 1,7M STRIE.</v>
      </c>
      <c r="C2555" s="185">
        <f t="shared" si="79"/>
        <v>3.9033899999999999</v>
      </c>
      <c r="D2555" s="409" t="s">
        <v>2732</v>
      </c>
      <c r="E2555" s="409" t="s">
        <v>3618</v>
      </c>
      <c r="F2555" s="409" t="s">
        <v>3619</v>
      </c>
      <c r="G2555" s="409" t="s">
        <v>3620</v>
      </c>
      <c r="H2555" s="465">
        <v>108.5622</v>
      </c>
      <c r="I2555" s="465">
        <v>3.9033899999999999</v>
      </c>
      <c r="J2555" s="465">
        <v>14.2188</v>
      </c>
      <c r="K2555" s="465">
        <v>1555.7474299999999</v>
      </c>
      <c r="L2555" s="464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SMART spodné vedenia 2,35M OLIVA</v>
      </c>
      <c r="C2556" s="185">
        <f t="shared" si="79"/>
        <v>6.5316700000000001</v>
      </c>
      <c r="D2556" s="409" t="s">
        <v>2733</v>
      </c>
      <c r="E2556" s="409" t="s">
        <v>5479</v>
      </c>
      <c r="F2556" s="409" t="s">
        <v>5480</v>
      </c>
      <c r="G2556" s="409" t="s">
        <v>5481</v>
      </c>
      <c r="H2556" s="465">
        <v>181.66074</v>
      </c>
      <c r="I2556" s="465">
        <v>6.5316700000000001</v>
      </c>
      <c r="J2556" s="465">
        <v>22.613399999999999</v>
      </c>
      <c r="K2556" s="465">
        <v>2603.2839899999999</v>
      </c>
      <c r="L2556" s="464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SMART SPODNÉ VEDENIE 2,35M STRIE</v>
      </c>
      <c r="C2557" s="185">
        <f t="shared" si="79"/>
        <v>5.3606600000000002</v>
      </c>
      <c r="D2557" s="409" t="s">
        <v>2734</v>
      </c>
      <c r="E2557" s="409" t="s">
        <v>3715</v>
      </c>
      <c r="F2557" s="409" t="s">
        <v>3716</v>
      </c>
      <c r="G2557" s="409" t="s">
        <v>3717</v>
      </c>
      <c r="H2557" s="465">
        <v>149.09209999999999</v>
      </c>
      <c r="I2557" s="465">
        <v>5.3606600000000002</v>
      </c>
      <c r="J2557" s="465">
        <v>19.6554</v>
      </c>
      <c r="K2557" s="465">
        <v>2136.5599499999998</v>
      </c>
      <c r="L2557" s="464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SMART SPODNÉ VEDENIE 3M OLIVA</v>
      </c>
      <c r="C2558" s="185">
        <f t="shared" si="79"/>
        <v>8.3012099999999993</v>
      </c>
      <c r="D2558" s="409" t="s">
        <v>2735</v>
      </c>
      <c r="E2558" s="409" t="s">
        <v>5482</v>
      </c>
      <c r="F2558" s="409" t="s">
        <v>5483</v>
      </c>
      <c r="G2558" s="409" t="s">
        <v>5484</v>
      </c>
      <c r="H2558" s="465">
        <v>230.87560999999999</v>
      </c>
      <c r="I2558" s="465">
        <v>8.3012099999999993</v>
      </c>
      <c r="J2558" s="465">
        <v>28.855799999999999</v>
      </c>
      <c r="K2558" s="465">
        <v>3308.5562300000001</v>
      </c>
      <c r="L2558" s="464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SMART SPODNÉ VEDENIE 3M STRIE.</v>
      </c>
      <c r="C2559" s="185">
        <f t="shared" si="79"/>
        <v>6.7919</v>
      </c>
      <c r="D2559" s="409" t="s">
        <v>2736</v>
      </c>
      <c r="E2559" s="409" t="s">
        <v>5485</v>
      </c>
      <c r="F2559" s="409" t="s">
        <v>5486</v>
      </c>
      <c r="G2559" s="409" t="s">
        <v>5487</v>
      </c>
      <c r="H2559" s="465">
        <v>188.89822000000001</v>
      </c>
      <c r="I2559" s="465">
        <v>6.7919</v>
      </c>
      <c r="J2559" s="465">
        <v>25.1022</v>
      </c>
      <c r="K2559" s="465">
        <v>2707.0004800000002</v>
      </c>
      <c r="L2559" s="464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spodné vedenie 1,7m zlatá</v>
      </c>
      <c r="C2560" s="185">
        <f t="shared" si="79"/>
        <v>10.409039999999999</v>
      </c>
      <c r="D2560" s="409" t="s">
        <v>2737</v>
      </c>
      <c r="E2560" s="409" t="s">
        <v>5162</v>
      </c>
      <c r="F2560" s="409" t="s">
        <v>5163</v>
      </c>
      <c r="G2560" s="409" t="s">
        <v>5164</v>
      </c>
      <c r="H2560" s="465">
        <v>289.49919</v>
      </c>
      <c r="I2560" s="465">
        <v>10.409039999999999</v>
      </c>
      <c r="J2560" s="465">
        <v>39.086399999999998</v>
      </c>
      <c r="K2560" s="465">
        <v>4148.6598199999999</v>
      </c>
      <c r="L2560" s="464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spodné vedenie  1,7m strieborná</v>
      </c>
      <c r="C2561" s="185">
        <f t="shared" si="79"/>
        <v>8.3272300000000001</v>
      </c>
      <c r="D2561" s="409" t="s">
        <v>2738</v>
      </c>
      <c r="E2561" s="409" t="s">
        <v>5160</v>
      </c>
      <c r="F2561" s="409" t="s">
        <v>5161</v>
      </c>
      <c r="G2561" s="409" t="s">
        <v>2378</v>
      </c>
      <c r="H2561" s="465">
        <v>231.59934999999999</v>
      </c>
      <c r="I2561" s="465">
        <v>8.3272300000000001</v>
      </c>
      <c r="J2561" s="465">
        <v>31.293600000000001</v>
      </c>
      <c r="K2561" s="465">
        <v>3318.9278399999998</v>
      </c>
      <c r="L2561" s="464" t="s">
        <v>695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Elegant II spodné vedenie 2,35m zlatá</v>
      </c>
      <c r="C2562" s="185">
        <f t="shared" si="79"/>
        <v>14.36448</v>
      </c>
      <c r="D2562" s="409" t="s">
        <v>2739</v>
      </c>
      <c r="E2562" s="409" t="s">
        <v>4239</v>
      </c>
      <c r="F2562" s="409" t="s">
        <v>4240</v>
      </c>
      <c r="G2562" s="409" t="s">
        <v>4241</v>
      </c>
      <c r="H2562" s="465">
        <v>399.50887999999998</v>
      </c>
      <c r="I2562" s="465">
        <v>14.36448</v>
      </c>
      <c r="J2562" s="465">
        <v>53.968200000000003</v>
      </c>
      <c r="K2562" s="465">
        <v>5725.1504599999998</v>
      </c>
      <c r="L2562" s="464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spodné vedenie  2,35m oliva</v>
      </c>
      <c r="C2563" s="185">
        <f t="shared" si="79"/>
        <v>14.36448</v>
      </c>
      <c r="D2563" s="409" t="s">
        <v>2740</v>
      </c>
      <c r="E2563" s="409" t="s">
        <v>4251</v>
      </c>
      <c r="F2563" s="409" t="s">
        <v>4252</v>
      </c>
      <c r="G2563" s="409" t="s">
        <v>4253</v>
      </c>
      <c r="H2563" s="465">
        <v>399.50887999999998</v>
      </c>
      <c r="I2563" s="465">
        <v>14.36448</v>
      </c>
      <c r="J2563" s="465">
        <v>53.968200000000003</v>
      </c>
      <c r="K2563" s="465">
        <v>5725.1504599999998</v>
      </c>
      <c r="L2563" s="464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spodné vedenie  2,35m strieborná</v>
      </c>
      <c r="C2564" s="185">
        <f t="shared" ref="C2564:C2627" si="81">IF($A$2=1,H2564,IF($A$2=2,I2564,IF($A$2=3,J2564,IF($A$2=4,K2564,IF($A$2&gt;4,O2564,"zadat jazyk")))))</f>
        <v>11.47597</v>
      </c>
      <c r="D2564" s="409" t="s">
        <v>2741</v>
      </c>
      <c r="E2564" s="409" t="s">
        <v>5177</v>
      </c>
      <c r="F2564" s="409" t="s">
        <v>5178</v>
      </c>
      <c r="G2564" s="409" t="s">
        <v>5179</v>
      </c>
      <c r="H2564" s="465">
        <v>319.17286000000001</v>
      </c>
      <c r="I2564" s="465">
        <v>11.47597</v>
      </c>
      <c r="J2564" s="465">
        <v>43.278599999999997</v>
      </c>
      <c r="K2564" s="465">
        <v>4573.8973900000001</v>
      </c>
      <c r="L2564" s="464" t="s">
        <v>695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Elegant II spodné vedenie 3m zlatá</v>
      </c>
      <c r="C2565" s="185">
        <f t="shared" si="81"/>
        <v>18.345929999999999</v>
      </c>
      <c r="D2565" s="409" t="s">
        <v>2742</v>
      </c>
      <c r="E2565" s="409" t="s">
        <v>4392</v>
      </c>
      <c r="F2565" s="409" t="s">
        <v>4393</v>
      </c>
      <c r="G2565" s="409" t="s">
        <v>4394</v>
      </c>
      <c r="H2565" s="465">
        <v>510.24234000000001</v>
      </c>
      <c r="I2565" s="465">
        <v>18.345929999999999</v>
      </c>
      <c r="J2565" s="465">
        <v>68.931600000000003</v>
      </c>
      <c r="K2565" s="465">
        <v>7312.0131000000001</v>
      </c>
      <c r="L2565" s="464" t="s">
        <v>538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spodné vedenie  3m oliva</v>
      </c>
      <c r="C2566" s="185">
        <f t="shared" si="81"/>
        <v>18.345929999999999</v>
      </c>
      <c r="D2566" s="409" t="s">
        <v>2743</v>
      </c>
      <c r="E2566" s="409" t="s">
        <v>4403</v>
      </c>
      <c r="F2566" s="409" t="s">
        <v>4404</v>
      </c>
      <c r="G2566" s="409" t="s">
        <v>4405</v>
      </c>
      <c r="H2566" s="465">
        <v>510.24234000000001</v>
      </c>
      <c r="I2566" s="465">
        <v>18.345929999999999</v>
      </c>
      <c r="J2566" s="465">
        <v>68.931600000000003</v>
      </c>
      <c r="K2566" s="465">
        <v>7312.0131000000001</v>
      </c>
      <c r="L2566" s="464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spodné vedenie  3m strieborná</v>
      </c>
      <c r="C2567" s="185">
        <f t="shared" si="81"/>
        <v>14.46857</v>
      </c>
      <c r="D2567" s="409" t="s">
        <v>2744</v>
      </c>
      <c r="E2567" s="409" t="s">
        <v>5195</v>
      </c>
      <c r="F2567" s="409" t="s">
        <v>5196</v>
      </c>
      <c r="G2567" s="409" t="s">
        <v>5197</v>
      </c>
      <c r="H2567" s="465">
        <v>405.29887000000002</v>
      </c>
      <c r="I2567" s="465">
        <v>14.46857</v>
      </c>
      <c r="J2567" s="465">
        <v>55.212600000000002</v>
      </c>
      <c r="K2567" s="465">
        <v>5808.12374</v>
      </c>
      <c r="L2567" s="464" t="s">
        <v>695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spodné vedenie 4,05m zlatá</v>
      </c>
      <c r="C2568" s="185">
        <f t="shared" si="81"/>
        <v>24.773520000000001</v>
      </c>
      <c r="D2568" s="409" t="s">
        <v>2745</v>
      </c>
      <c r="E2568" s="409" t="s">
        <v>4585</v>
      </c>
      <c r="F2568" s="409" t="s">
        <v>4586</v>
      </c>
      <c r="G2568" s="409" t="s">
        <v>4587</v>
      </c>
      <c r="H2568" s="465">
        <v>689.00806999999998</v>
      </c>
      <c r="I2568" s="465">
        <v>24.773520000000001</v>
      </c>
      <c r="J2568" s="465">
        <v>93.075000000000003</v>
      </c>
      <c r="K2568" s="465">
        <v>9873.8102500000005</v>
      </c>
      <c r="L2568" s="464" t="s">
        <v>538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spodné vedenie  4,05m oliva</v>
      </c>
      <c r="C2569" s="185">
        <f t="shared" si="81"/>
        <v>24.773520000000001</v>
      </c>
      <c r="D2569" s="409" t="s">
        <v>2746</v>
      </c>
      <c r="E2569" s="409" t="s">
        <v>4607</v>
      </c>
      <c r="F2569" s="409" t="s">
        <v>4608</v>
      </c>
      <c r="G2569" s="409" t="s">
        <v>4609</v>
      </c>
      <c r="H2569" s="465">
        <v>689.00806999999998</v>
      </c>
      <c r="I2569" s="465">
        <v>24.773520000000001</v>
      </c>
      <c r="J2569" s="465">
        <v>93.075000000000003</v>
      </c>
      <c r="K2569" s="465">
        <v>9873.8102500000005</v>
      </c>
      <c r="L2569" s="464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spodné vedenie  4,05m strieborná</v>
      </c>
      <c r="C2570" s="185">
        <f t="shared" si="81"/>
        <v>19.751149999999999</v>
      </c>
      <c r="D2570" s="409" t="s">
        <v>2747</v>
      </c>
      <c r="E2570" s="409" t="s">
        <v>5210</v>
      </c>
      <c r="F2570" s="409" t="s">
        <v>5211</v>
      </c>
      <c r="G2570" s="409" t="s">
        <v>5212</v>
      </c>
      <c r="H2570" s="465">
        <v>549.32471999999996</v>
      </c>
      <c r="I2570" s="465">
        <v>19.751149999999999</v>
      </c>
      <c r="J2570" s="465">
        <v>74.572199999999995</v>
      </c>
      <c r="K2570" s="465">
        <v>7872.0820199999998</v>
      </c>
      <c r="L2570" s="464" t="s">
        <v>695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 "U" pre lamino 16mm 3m oliva</v>
      </c>
      <c r="C2571" s="185">
        <f t="shared" si="81"/>
        <v>7.5465499999999999</v>
      </c>
      <c r="D2571" s="409" t="s">
        <v>2748</v>
      </c>
      <c r="E2571" s="409" t="s">
        <v>3877</v>
      </c>
      <c r="F2571" s="409" t="s">
        <v>3878</v>
      </c>
      <c r="G2571" s="409" t="s">
        <v>3879</v>
      </c>
      <c r="H2571" s="465">
        <v>209.88691</v>
      </c>
      <c r="I2571" s="465">
        <v>7.5465499999999999</v>
      </c>
      <c r="J2571" s="465">
        <v>25.950690000000002</v>
      </c>
      <c r="K2571" s="465">
        <v>3007.77835</v>
      </c>
      <c r="L2571" s="464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horný vozík 10mm asymetrický L+P</v>
      </c>
      <c r="C2572" s="185">
        <f t="shared" si="81"/>
        <v>5.5948599999999997</v>
      </c>
      <c r="D2572" s="409" t="s">
        <v>2749</v>
      </c>
      <c r="E2572" s="409" t="s">
        <v>5391</v>
      </c>
      <c r="F2572" s="409" t="s">
        <v>5392</v>
      </c>
      <c r="G2572" s="409" t="s">
        <v>5393</v>
      </c>
      <c r="H2572" s="465">
        <v>165.12128999999999</v>
      </c>
      <c r="I2572" s="465">
        <v>5.5948599999999997</v>
      </c>
      <c r="J2572" s="465">
        <v>27.305399999999999</v>
      </c>
      <c r="K2572" s="465">
        <v>2293.10052</v>
      </c>
      <c r="L2572" s="464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pozicionér spodného vozíka HI-TEC</v>
      </c>
      <c r="C2573" s="185">
        <f t="shared" si="81"/>
        <v>0.31226999999999999</v>
      </c>
      <c r="D2573" s="409" t="s">
        <v>2750</v>
      </c>
      <c r="E2573" s="409" t="s">
        <v>6151</v>
      </c>
      <c r="F2573" s="409" t="s">
        <v>6152</v>
      </c>
      <c r="G2573" s="409" t="s">
        <v>6153</v>
      </c>
      <c r="H2573" s="465">
        <v>9.2160700000000002</v>
      </c>
      <c r="I2573" s="465">
        <v>0.31226999999999999</v>
      </c>
      <c r="J2573" s="465">
        <v>1.071</v>
      </c>
      <c r="K2573" s="465">
        <v>127.98692</v>
      </c>
      <c r="L2573" s="464" t="s">
        <v>695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Smart horný vozík</v>
      </c>
      <c r="C2574" s="185">
        <f t="shared" si="81"/>
        <v>1.58738</v>
      </c>
      <c r="D2574" s="409" t="s">
        <v>2751</v>
      </c>
      <c r="E2574" s="409" t="s">
        <v>6154</v>
      </c>
      <c r="F2574" s="409" t="s">
        <v>6155</v>
      </c>
      <c r="G2574" s="409" t="s">
        <v>6156</v>
      </c>
      <c r="H2574" s="465">
        <v>46.84836</v>
      </c>
      <c r="I2574" s="465">
        <v>1.58738</v>
      </c>
      <c r="J2574" s="465">
        <v>6.7144500000000003</v>
      </c>
      <c r="K2574" s="465">
        <v>650.60053000000005</v>
      </c>
      <c r="L2574" s="464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Smart spodný vozík</v>
      </c>
      <c r="C2575" s="185">
        <f t="shared" si="81"/>
        <v>1.58738</v>
      </c>
      <c r="D2575" s="409" t="s">
        <v>2752</v>
      </c>
      <c r="E2575" s="409" t="s">
        <v>6157</v>
      </c>
      <c r="F2575" s="409" t="s">
        <v>6158</v>
      </c>
      <c r="G2575" s="409" t="s">
        <v>6159</v>
      </c>
      <c r="H2575" s="465">
        <v>46.84836</v>
      </c>
      <c r="I2575" s="465">
        <v>1.58738</v>
      </c>
      <c r="J2575" s="465">
        <v>6.7144500000000003</v>
      </c>
      <c r="K2575" s="465">
        <v>650.60053000000005</v>
      </c>
      <c r="L2575" s="464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Gemini II spodné vedenie 1,7m strieborná</v>
      </c>
      <c r="C2576" s="185">
        <f t="shared" si="81"/>
        <v>9.4461999999999993</v>
      </c>
      <c r="D2576" s="409" t="s">
        <v>2753</v>
      </c>
      <c r="E2576" s="409" t="s">
        <v>3948</v>
      </c>
      <c r="F2576" s="409" t="s">
        <v>3949</v>
      </c>
      <c r="G2576" s="409" t="s">
        <v>3950</v>
      </c>
      <c r="H2576" s="465">
        <v>262.72050999999999</v>
      </c>
      <c r="I2576" s="465">
        <v>9.4461999999999993</v>
      </c>
      <c r="J2576" s="465">
        <v>32.4831</v>
      </c>
      <c r="K2576" s="465">
        <v>3600.4495400000001</v>
      </c>
      <c r="L2576" s="464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spodné vedenie  3m strieborná</v>
      </c>
      <c r="C2577" s="185">
        <f t="shared" si="81"/>
        <v>14.28641</v>
      </c>
      <c r="D2577" s="409" t="s">
        <v>2754</v>
      </c>
      <c r="E2577" s="409" t="s">
        <v>4337</v>
      </c>
      <c r="F2577" s="409" t="s">
        <v>4338</v>
      </c>
      <c r="G2577" s="409" t="s">
        <v>4339</v>
      </c>
      <c r="H2577" s="465">
        <v>397.33764000000002</v>
      </c>
      <c r="I2577" s="465">
        <v>14.28641</v>
      </c>
      <c r="J2577" s="465">
        <v>52.749690000000001</v>
      </c>
      <c r="K2577" s="465">
        <v>5694.0356199999997</v>
      </c>
      <c r="L2577" s="464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Exclusive horné vedenie 1,8m str.</v>
      </c>
      <c r="C2578" s="185">
        <f t="shared" si="81"/>
        <v>19.516950000000001</v>
      </c>
      <c r="D2578" s="409" t="s">
        <v>2755</v>
      </c>
      <c r="E2578" s="409" t="s">
        <v>5671</v>
      </c>
      <c r="F2578" s="409" t="s">
        <v>1173</v>
      </c>
      <c r="G2578" s="409" t="s">
        <v>5672</v>
      </c>
      <c r="H2578" s="465">
        <v>517.42773999999997</v>
      </c>
      <c r="I2578" s="465">
        <v>19.516950000000001</v>
      </c>
      <c r="J2578" s="465">
        <v>66.586370000000002</v>
      </c>
      <c r="K2578" s="465">
        <v>7558.2870999999996</v>
      </c>
      <c r="L2578" s="464" t="s">
        <v>539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MDF VLOŽKA PRE KRYCIU LIŠ. 2,7 m</v>
      </c>
      <c r="C2579" s="185">
        <f t="shared" si="81"/>
        <v>0</v>
      </c>
      <c r="D2579" s="409" t="s">
        <v>2756</v>
      </c>
      <c r="E2579" s="409" t="s">
        <v>3924</v>
      </c>
      <c r="F2579" s="409" t="s">
        <v>3925</v>
      </c>
      <c r="G2579" s="409" t="s">
        <v>3926</v>
      </c>
      <c r="H2579" s="465">
        <v>0</v>
      </c>
      <c r="I2579" s="465">
        <v>0</v>
      </c>
      <c r="J2579" s="465">
        <v>0</v>
      </c>
      <c r="K2579" s="465">
        <v>0</v>
      </c>
      <c r="L2579" s="464" t="s">
        <v>540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horné/spodné vedenie 1,2m strieborná</v>
      </c>
      <c r="C2580" s="185">
        <f t="shared" si="81"/>
        <v>5.25657</v>
      </c>
      <c r="D2580" s="409" t="s">
        <v>2757</v>
      </c>
      <c r="E2580" s="409" t="s">
        <v>3687</v>
      </c>
      <c r="F2580" s="409" t="s">
        <v>3688</v>
      </c>
      <c r="G2580" s="409" t="s">
        <v>3689</v>
      </c>
      <c r="H2580" s="465">
        <v>146.19709</v>
      </c>
      <c r="I2580" s="465">
        <v>5.25657</v>
      </c>
      <c r="J2580" s="465">
        <v>19.757400000000001</v>
      </c>
      <c r="K2580" s="465">
        <v>2095.07312</v>
      </c>
      <c r="L2580" s="464" t="s">
        <v>539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sada kovania ZPE-10 II</v>
      </c>
      <c r="C2581" s="185">
        <f t="shared" si="81"/>
        <v>39.736510000000003</v>
      </c>
      <c r="D2581" s="409" t="s">
        <v>2758</v>
      </c>
      <c r="E2581" s="409" t="s">
        <v>4905</v>
      </c>
      <c r="F2581" s="409" t="s">
        <v>4906</v>
      </c>
      <c r="G2581" s="409" t="s">
        <v>4907</v>
      </c>
      <c r="H2581" s="465">
        <v>1053.48288</v>
      </c>
      <c r="I2581" s="465">
        <v>39.736510000000003</v>
      </c>
      <c r="J2581" s="465">
        <v>135.56983</v>
      </c>
      <c r="K2581" s="465">
        <v>15388.67266</v>
      </c>
      <c r="L2581" s="464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brzda gumová horná</v>
      </c>
      <c r="C2582" s="185">
        <f t="shared" si="81"/>
        <v>3.9554399999999998</v>
      </c>
      <c r="D2582" s="409" t="s">
        <v>2759</v>
      </c>
      <c r="E2582" s="409" t="s">
        <v>3659</v>
      </c>
      <c r="F2582" s="409" t="s">
        <v>3660</v>
      </c>
      <c r="G2582" s="409" t="s">
        <v>3661</v>
      </c>
      <c r="H2582" s="465">
        <v>104.86535000000001</v>
      </c>
      <c r="I2582" s="465">
        <v>3.9554399999999998</v>
      </c>
      <c r="J2582" s="465">
        <v>13.49484</v>
      </c>
      <c r="K2582" s="465">
        <v>1531.81277</v>
      </c>
      <c r="L2582" s="464" t="s">
        <v>539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brzda guľatá spodná</v>
      </c>
      <c r="C2583" s="185">
        <f t="shared" si="81"/>
        <v>1.1710199999999999</v>
      </c>
      <c r="D2583" s="409" t="s">
        <v>2760</v>
      </c>
      <c r="E2583" s="409" t="s">
        <v>6160</v>
      </c>
      <c r="F2583" s="409" t="s">
        <v>6161</v>
      </c>
      <c r="G2583" s="409" t="s">
        <v>6162</v>
      </c>
      <c r="H2583" s="465">
        <v>31.045680000000001</v>
      </c>
      <c r="I2583" s="465">
        <v>1.1710199999999999</v>
      </c>
      <c r="J2583" s="465">
        <v>3.99519</v>
      </c>
      <c r="K2583" s="465">
        <v>453.49741999999998</v>
      </c>
      <c r="L2583" s="464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horný vozík 10mm L+P</v>
      </c>
      <c r="C2584" s="185">
        <f t="shared" si="81"/>
        <v>6.9220100000000002</v>
      </c>
      <c r="D2584" s="409" t="s">
        <v>2761</v>
      </c>
      <c r="E2584" s="409" t="s">
        <v>3863</v>
      </c>
      <c r="F2584" s="409" t="s">
        <v>3864</v>
      </c>
      <c r="G2584" s="409" t="s">
        <v>3865</v>
      </c>
      <c r="H2584" s="465">
        <v>204.28959</v>
      </c>
      <c r="I2584" s="465">
        <v>6.9220100000000002</v>
      </c>
      <c r="J2584" s="465">
        <v>25.245000000000001</v>
      </c>
      <c r="K2584" s="465">
        <v>2837.0452300000002</v>
      </c>
      <c r="L2584" s="464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horné/spodné vedenie 1,2m oliva</v>
      </c>
      <c r="C2585" s="185">
        <f t="shared" si="81"/>
        <v>5.8290600000000001</v>
      </c>
      <c r="D2585" s="409" t="s">
        <v>2762</v>
      </c>
      <c r="E2585" s="409" t="s">
        <v>3684</v>
      </c>
      <c r="F2585" s="409" t="s">
        <v>3685</v>
      </c>
      <c r="G2585" s="409" t="s">
        <v>3686</v>
      </c>
      <c r="H2585" s="465">
        <v>162.11954</v>
      </c>
      <c r="I2585" s="465">
        <v>5.8290600000000001</v>
      </c>
      <c r="J2585" s="465">
        <v>21.725999999999999</v>
      </c>
      <c r="K2585" s="465">
        <v>2323.2493199999999</v>
      </c>
      <c r="L2585" s="464" t="s">
        <v>539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tesnenie na sklo 18/4-4,5mm asymetrické</v>
      </c>
      <c r="C2586" s="185">
        <f t="shared" si="81"/>
        <v>2.3056100000000002</v>
      </c>
      <c r="D2586" s="409" t="s">
        <v>2763</v>
      </c>
      <c r="E2586" s="409" t="s">
        <v>6163</v>
      </c>
      <c r="F2586" s="409" t="s">
        <v>6164</v>
      </c>
      <c r="G2586" s="409" t="s">
        <v>6165</v>
      </c>
      <c r="H2586" s="465">
        <v>68.352530000000002</v>
      </c>
      <c r="I2586" s="465">
        <v>2.3056100000000002</v>
      </c>
      <c r="J2586" s="465">
        <v>7.6425999999999998</v>
      </c>
      <c r="K2586" s="465">
        <v>944.97055</v>
      </c>
      <c r="L2586" s="464" t="s">
        <v>538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Maxim sada kovania pre 2 dvere 1,8m strieborná</v>
      </c>
      <c r="C2587" s="185">
        <f t="shared" si="81"/>
        <v>27.470300000000002</v>
      </c>
      <c r="D2587" s="409" t="s">
        <v>2764</v>
      </c>
      <c r="E2587" s="409" t="s">
        <v>4842</v>
      </c>
      <c r="F2587" s="409" t="s">
        <v>4843</v>
      </c>
      <c r="G2587" s="409" t="s">
        <v>4844</v>
      </c>
      <c r="H2587" s="465">
        <v>0</v>
      </c>
      <c r="I2587" s="465">
        <v>27.470300000000002</v>
      </c>
      <c r="J2587" s="465">
        <v>107.06509</v>
      </c>
      <c r="K2587" s="465">
        <v>0</v>
      </c>
      <c r="L2587" s="464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str">
        <f t="shared" si="80"/>
        <v>SEVROLL Maxim spojovacia lišta H25 1,8m strieborná</v>
      </c>
      <c r="C2588" s="185" t="e">
        <f t="shared" si="81"/>
        <v>#N/A</v>
      </c>
      <c r="D2588" s="409" t="s">
        <v>2765</v>
      </c>
      <c r="E2588" s="409" t="s">
        <v>4286</v>
      </c>
      <c r="F2588" s="409" t="s">
        <v>4287</v>
      </c>
      <c r="G2588" s="409" t="s">
        <v>4288</v>
      </c>
      <c r="H2588" s="465" t="e">
        <v>#N/A</v>
      </c>
      <c r="I2588" s="465" t="e">
        <v>#N/A</v>
      </c>
      <c r="J2588" s="465" t="e">
        <v>#N/A</v>
      </c>
      <c r="K2588" s="465" t="e">
        <v>#N/A</v>
      </c>
      <c r="L2588" s="464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úchytová lišta 2,7m strieborná</v>
      </c>
      <c r="C2589" s="185">
        <f t="shared" si="81"/>
        <v>16.784579999999998</v>
      </c>
      <c r="D2589" s="409" t="s">
        <v>2766</v>
      </c>
      <c r="E2589" s="409" t="s">
        <v>4351</v>
      </c>
      <c r="F2589" s="409" t="s">
        <v>4352</v>
      </c>
      <c r="G2589" s="409" t="s">
        <v>4353</v>
      </c>
      <c r="H2589" s="465">
        <v>466.81745999999998</v>
      </c>
      <c r="I2589" s="465">
        <v>16.784579999999998</v>
      </c>
      <c r="J2589" s="465">
        <v>61.863</v>
      </c>
      <c r="K2589" s="465">
        <v>6689.71414</v>
      </c>
      <c r="L2589" s="464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Prince sada kovania pre skládacie dvere 1200mm strieborná</v>
      </c>
      <c r="C2590" s="185">
        <f t="shared" si="81"/>
        <v>191.89064999999999</v>
      </c>
      <c r="D2590" s="409" t="s">
        <v>2767</v>
      </c>
      <c r="E2590" s="409" t="s">
        <v>5091</v>
      </c>
      <c r="F2590" s="409" t="s">
        <v>5092</v>
      </c>
      <c r="G2590" s="409" t="s">
        <v>5093</v>
      </c>
      <c r="H2590" s="465">
        <v>5336.91759</v>
      </c>
      <c r="I2590" s="465">
        <v>191.89064999999999</v>
      </c>
      <c r="J2590" s="465">
        <v>659.86327000000006</v>
      </c>
      <c r="K2590" s="465">
        <v>76480.543369999999</v>
      </c>
      <c r="L2590" s="464" t="s">
        <v>539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spodné vedenie  2,35m strieborná</v>
      </c>
      <c r="C2591" s="185">
        <f t="shared" si="81"/>
        <v>11.194929999999999</v>
      </c>
      <c r="D2591" s="409" t="s">
        <v>2768</v>
      </c>
      <c r="E2591" s="409" t="s">
        <v>4151</v>
      </c>
      <c r="F2591" s="409" t="s">
        <v>4152</v>
      </c>
      <c r="G2591" s="409" t="s">
        <v>4153</v>
      </c>
      <c r="H2591" s="465">
        <v>311.21163000000001</v>
      </c>
      <c r="I2591" s="465">
        <v>11.194929999999999</v>
      </c>
      <c r="J2591" s="465">
        <v>41.34393</v>
      </c>
      <c r="K2591" s="465">
        <v>4459.8092999999999</v>
      </c>
      <c r="L2591" s="464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spodné vedenie  4,05m strieborná</v>
      </c>
      <c r="C2592" s="185">
        <f t="shared" si="81"/>
        <v>19.28275</v>
      </c>
      <c r="D2592" s="409" t="s">
        <v>2769</v>
      </c>
      <c r="E2592" s="409" t="s">
        <v>4525</v>
      </c>
      <c r="F2592" s="409" t="s">
        <v>4526</v>
      </c>
      <c r="G2592" s="409" t="s">
        <v>4527</v>
      </c>
      <c r="H2592" s="465">
        <v>536.29724999999996</v>
      </c>
      <c r="I2592" s="465">
        <v>19.28275</v>
      </c>
      <c r="J2592" s="465">
        <v>71.187690000000003</v>
      </c>
      <c r="K2592" s="465">
        <v>7685.3922499999999</v>
      </c>
      <c r="L2592" s="464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spodný vozík WD 18C HI-TEC</v>
      </c>
      <c r="C2593" s="185">
        <f t="shared" si="81"/>
        <v>0</v>
      </c>
      <c r="D2593" s="409" t="s">
        <v>2770</v>
      </c>
      <c r="E2593" s="409" t="s">
        <v>6166</v>
      </c>
      <c r="F2593" s="409" t="s">
        <v>1103</v>
      </c>
      <c r="G2593" s="409" t="s">
        <v>6167</v>
      </c>
      <c r="H2593" s="465">
        <v>0</v>
      </c>
      <c r="I2593" s="465">
        <v>0</v>
      </c>
      <c r="J2593" s="465">
        <v>0</v>
      </c>
      <c r="K2593" s="465">
        <v>0</v>
      </c>
      <c r="L2593" s="464" t="s">
        <v>540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Prince 01 úchytová lišta 2,7m strieborná</v>
      </c>
      <c r="C2594" s="185">
        <f t="shared" si="81"/>
        <v>22.145230000000002</v>
      </c>
      <c r="D2594" s="409" t="s">
        <v>2771</v>
      </c>
      <c r="E2594" s="409" t="s">
        <v>4511</v>
      </c>
      <c r="F2594" s="409" t="s">
        <v>4512</v>
      </c>
      <c r="G2594" s="409" t="s">
        <v>4513</v>
      </c>
      <c r="H2594" s="465">
        <v>615.90953000000002</v>
      </c>
      <c r="I2594" s="465">
        <v>22.145230000000002</v>
      </c>
      <c r="J2594" s="465">
        <v>76.151830000000004</v>
      </c>
      <c r="K2594" s="465">
        <v>8826.2736999999997</v>
      </c>
      <c r="L2594" s="464" t="s">
        <v>539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sada kovania pre 1 krídlo</v>
      </c>
      <c r="C2595" s="185">
        <f t="shared" si="81"/>
        <v>6.3495100000000004</v>
      </c>
      <c r="D2595" s="409" t="s">
        <v>2772</v>
      </c>
      <c r="E2595" s="409" t="s">
        <v>5462</v>
      </c>
      <c r="F2595" s="409" t="s">
        <v>5463</v>
      </c>
      <c r="G2595" s="409" t="s">
        <v>5464</v>
      </c>
      <c r="H2595" s="465">
        <v>176.59450000000001</v>
      </c>
      <c r="I2595" s="465">
        <v>6.3495100000000004</v>
      </c>
      <c r="J2595" s="465">
        <v>25.214400000000001</v>
      </c>
      <c r="K2595" s="465">
        <v>2530.6823199999999</v>
      </c>
      <c r="L2595" s="464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dorazová kefa zásuvná 14x4mm sivá</v>
      </c>
      <c r="C2596" s="185">
        <f t="shared" si="81"/>
        <v>0.2218</v>
      </c>
      <c r="D2596" s="409" t="s">
        <v>2773</v>
      </c>
      <c r="E2596" s="409" t="s">
        <v>5125</v>
      </c>
      <c r="F2596" s="409" t="s">
        <v>5126</v>
      </c>
      <c r="G2596" s="409" t="s">
        <v>5127</v>
      </c>
      <c r="H2596" s="465">
        <v>6.8234399999999997</v>
      </c>
      <c r="I2596" s="465">
        <v>0.2218</v>
      </c>
      <c r="J2596" s="465">
        <v>1.224</v>
      </c>
      <c r="K2596" s="465">
        <v>66.033280000000005</v>
      </c>
      <c r="L2596" s="464" t="s">
        <v>695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Gemini-2 úch.lišta 2,7m strieborná</v>
      </c>
      <c r="C2597" s="185">
        <f t="shared" si="81"/>
        <v>18.892410000000002</v>
      </c>
      <c r="D2597" s="409" t="s">
        <v>2774</v>
      </c>
      <c r="E2597" s="409" t="s">
        <v>5300</v>
      </c>
      <c r="F2597" s="409" t="s">
        <v>1245</v>
      </c>
      <c r="G2597" s="409" t="s">
        <v>5301</v>
      </c>
      <c r="H2597" s="465">
        <v>525.44104000000004</v>
      </c>
      <c r="I2597" s="465">
        <v>18.892410000000002</v>
      </c>
      <c r="J2597" s="465">
        <v>78.988799999999998</v>
      </c>
      <c r="K2597" s="465">
        <v>7529.8176999999996</v>
      </c>
      <c r="L2597" s="464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Gemini-2 úch.lišta 2,7m oliva</v>
      </c>
      <c r="C2598" s="185">
        <f t="shared" si="81"/>
        <v>23.628520000000002</v>
      </c>
      <c r="D2598" s="409" t="s">
        <v>2775</v>
      </c>
      <c r="E2598" s="409" t="s">
        <v>4536</v>
      </c>
      <c r="F2598" s="409" t="s">
        <v>1246</v>
      </c>
      <c r="G2598" s="409" t="s">
        <v>4537</v>
      </c>
      <c r="H2598" s="465">
        <v>657.16317000000004</v>
      </c>
      <c r="I2598" s="465">
        <v>23.628520000000002</v>
      </c>
      <c r="J2598" s="465">
        <v>86.852999999999994</v>
      </c>
      <c r="K2598" s="465">
        <v>9417.4578500000007</v>
      </c>
      <c r="L2598" s="464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Gemini Gemini-2 úchytová lišta 2,7m</v>
      </c>
      <c r="C2599" s="185">
        <f t="shared" si="81"/>
        <v>23.628520000000002</v>
      </c>
      <c r="D2599" s="409" t="s">
        <v>2776</v>
      </c>
      <c r="E2599" s="409" t="s">
        <v>4501</v>
      </c>
      <c r="F2599" s="409" t="s">
        <v>1162</v>
      </c>
      <c r="G2599" s="409" t="s">
        <v>4502</v>
      </c>
      <c r="H2599" s="465">
        <v>657.16317000000004</v>
      </c>
      <c r="I2599" s="465">
        <v>23.628520000000002</v>
      </c>
      <c r="J2599" s="465">
        <v>86.852999999999994</v>
      </c>
      <c r="K2599" s="465">
        <v>9417.4578500000007</v>
      </c>
      <c r="L2599" s="464" t="s">
        <v>539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System 10 II úch.lišta 2,7m striebor</v>
      </c>
      <c r="C2600" s="185">
        <f t="shared" si="81"/>
        <v>18.892410000000002</v>
      </c>
      <c r="D2600" s="409" t="s">
        <v>2777</v>
      </c>
      <c r="E2600" s="409" t="s">
        <v>5598</v>
      </c>
      <c r="F2600" s="409" t="s">
        <v>1201</v>
      </c>
      <c r="G2600" s="409" t="s">
        <v>5599</v>
      </c>
      <c r="H2600" s="465">
        <v>525.44104000000004</v>
      </c>
      <c r="I2600" s="465">
        <v>18.892410000000002</v>
      </c>
      <c r="J2600" s="465">
        <v>76.000200000000007</v>
      </c>
      <c r="K2600" s="465">
        <v>7529.8176999999996</v>
      </c>
      <c r="L2600" s="464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System 10 II úch.lišta 2,7m oliva</v>
      </c>
      <c r="C2601" s="185">
        <f t="shared" si="81"/>
        <v>23.524429999999999</v>
      </c>
      <c r="D2601" s="409" t="s">
        <v>2778</v>
      </c>
      <c r="E2601" s="409" t="s">
        <v>4538</v>
      </c>
      <c r="F2601" s="409" t="s">
        <v>1202</v>
      </c>
      <c r="G2601" s="409" t="s">
        <v>4539</v>
      </c>
      <c r="H2601" s="465">
        <v>654.26815999999997</v>
      </c>
      <c r="I2601" s="465">
        <v>23.524429999999999</v>
      </c>
      <c r="J2601" s="465">
        <v>82.701599999999999</v>
      </c>
      <c r="K2601" s="465">
        <v>9375.9710099999993</v>
      </c>
      <c r="L2601" s="464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System 10 II úchytová lišta 2,7m zlatá</v>
      </c>
      <c r="C2602" s="185">
        <f t="shared" si="81"/>
        <v>23.524429999999999</v>
      </c>
      <c r="D2602" s="409" t="s">
        <v>2779</v>
      </c>
      <c r="E2602" s="409" t="s">
        <v>4503</v>
      </c>
      <c r="F2602" s="409" t="s">
        <v>1096</v>
      </c>
      <c r="G2602" s="409" t="s">
        <v>4504</v>
      </c>
      <c r="H2602" s="465">
        <v>654.26815999999997</v>
      </c>
      <c r="I2602" s="465">
        <v>23.524429999999999</v>
      </c>
      <c r="J2602" s="465">
        <v>82.701599999999999</v>
      </c>
      <c r="K2602" s="465">
        <v>9375.9710099999993</v>
      </c>
      <c r="L2602" s="464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úchytová lišta 2,7m oliva</v>
      </c>
      <c r="C2603" s="185">
        <f t="shared" si="81"/>
        <v>20.792059999999999</v>
      </c>
      <c r="D2603" s="409" t="s">
        <v>2780</v>
      </c>
      <c r="E2603" s="409" t="s">
        <v>4398</v>
      </c>
      <c r="F2603" s="409" t="s">
        <v>2780</v>
      </c>
      <c r="G2603" s="409" t="s">
        <v>4399</v>
      </c>
      <c r="H2603" s="465">
        <v>578.27463999999998</v>
      </c>
      <c r="I2603" s="465">
        <v>20.792059999999999</v>
      </c>
      <c r="J2603" s="465">
        <v>71.498620000000003</v>
      </c>
      <c r="K2603" s="465">
        <v>8286.9480100000001</v>
      </c>
      <c r="L2603" s="464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Fox úchytová lišta 2,7m zlatá</v>
      </c>
      <c r="C2604" s="185">
        <f t="shared" si="81"/>
        <v>20.792059999999999</v>
      </c>
      <c r="D2604" s="409" t="s">
        <v>2781</v>
      </c>
      <c r="E2604" s="409" t="s">
        <v>4400</v>
      </c>
      <c r="F2604" s="409" t="s">
        <v>4401</v>
      </c>
      <c r="G2604" s="409" t="s">
        <v>4402</v>
      </c>
      <c r="H2604" s="465">
        <v>578.27463999999998</v>
      </c>
      <c r="I2604" s="465">
        <v>20.792059999999999</v>
      </c>
      <c r="J2604" s="465">
        <v>71.498620000000003</v>
      </c>
      <c r="K2604" s="465">
        <v>8286.9480100000001</v>
      </c>
      <c r="L2604" s="464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úchytová lišta 2,7m oliva kartáčovaná</v>
      </c>
      <c r="C2605" s="185">
        <f t="shared" si="81"/>
        <v>25.16385</v>
      </c>
      <c r="D2605" s="409" t="s">
        <v>2782</v>
      </c>
      <c r="E2605" s="409" t="s">
        <v>5245</v>
      </c>
      <c r="F2605" s="409" t="s">
        <v>2782</v>
      </c>
      <c r="G2605" s="409" t="s">
        <v>5246</v>
      </c>
      <c r="H2605" s="465">
        <v>699.86431000000005</v>
      </c>
      <c r="I2605" s="465">
        <v>25.16385</v>
      </c>
      <c r="J2605" s="465">
        <v>90.198599999999999</v>
      </c>
      <c r="K2605" s="465">
        <v>10029.385200000001</v>
      </c>
      <c r="L2605" s="464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Everest vodiaca lišta 3m strieborná</v>
      </c>
      <c r="C2606" s="185">
        <f t="shared" si="81"/>
        <v>25.60624</v>
      </c>
      <c r="D2606" s="409" t="s">
        <v>2783</v>
      </c>
      <c r="E2606" s="409" t="s">
        <v>4729</v>
      </c>
      <c r="F2606" s="409" t="s">
        <v>1254</v>
      </c>
      <c r="G2606" s="409" t="s">
        <v>4730</v>
      </c>
      <c r="H2606" s="465">
        <v>712.16800000000001</v>
      </c>
      <c r="I2606" s="465">
        <v>25.60624</v>
      </c>
      <c r="J2606" s="465">
        <v>89.321399999999997</v>
      </c>
      <c r="K2606" s="465">
        <v>10205.70297</v>
      </c>
      <c r="L2606" s="464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vozík pre šikmé krídlo - 2ks</v>
      </c>
      <c r="C2607" s="185">
        <f t="shared" si="81"/>
        <v>20.193539999999999</v>
      </c>
      <c r="D2607" s="409" t="s">
        <v>2784</v>
      </c>
      <c r="E2607" s="409" t="s">
        <v>4630</v>
      </c>
      <c r="F2607" s="409" t="s">
        <v>4631</v>
      </c>
      <c r="G2607" s="409" t="s">
        <v>4632</v>
      </c>
      <c r="H2607" s="465">
        <v>595.97262999999998</v>
      </c>
      <c r="I2607" s="465">
        <v>20.193539999999999</v>
      </c>
      <c r="J2607" s="465">
        <v>67.640100000000004</v>
      </c>
      <c r="K2607" s="465">
        <v>8276.4924900000005</v>
      </c>
      <c r="L2607" s="464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Exclusive horné vedenie 3m strieborn</v>
      </c>
      <c r="C2608" s="185">
        <f t="shared" si="81"/>
        <v>32.554270000000002</v>
      </c>
      <c r="D2608" s="409" t="s">
        <v>2785</v>
      </c>
      <c r="E2608" s="409" t="s">
        <v>4792</v>
      </c>
      <c r="F2608" s="409" t="s">
        <v>1171</v>
      </c>
      <c r="G2608" s="409" t="s">
        <v>4793</v>
      </c>
      <c r="H2608" s="465">
        <v>863.06946000000005</v>
      </c>
      <c r="I2608" s="465">
        <v>32.554270000000002</v>
      </c>
      <c r="J2608" s="465">
        <v>111.06605999999999</v>
      </c>
      <c r="K2608" s="465">
        <v>12607.22285</v>
      </c>
      <c r="L2608" s="464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-COMFORT HORNÉ VEDENI 4,05M STR</v>
      </c>
      <c r="C2609" s="185">
        <f t="shared" si="81"/>
        <v>71.614199999999997</v>
      </c>
      <c r="D2609" s="409" t="s">
        <v>2786</v>
      </c>
      <c r="E2609" s="409" t="s">
        <v>5039</v>
      </c>
      <c r="F2609" s="409" t="s">
        <v>1186</v>
      </c>
      <c r="G2609" s="409" t="s">
        <v>5040</v>
      </c>
      <c r="H2609" s="465">
        <v>1991.7544399999999</v>
      </c>
      <c r="I2609" s="465">
        <v>71.614199999999997</v>
      </c>
      <c r="J2609" s="465">
        <v>257.95800000000003</v>
      </c>
      <c r="K2609" s="465">
        <v>28542.77939</v>
      </c>
      <c r="L2609" s="464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Comfort spodné vedenie 4,05m striebo</v>
      </c>
      <c r="C2610" s="185">
        <f t="shared" si="81"/>
        <v>36.37959</v>
      </c>
      <c r="D2610" s="409" t="s">
        <v>1421</v>
      </c>
      <c r="E2610" s="409" t="s">
        <v>4831</v>
      </c>
      <c r="F2610" s="409" t="s">
        <v>1181</v>
      </c>
      <c r="G2610" s="409" t="s">
        <v>4832</v>
      </c>
      <c r="H2610" s="465">
        <v>1011.79968</v>
      </c>
      <c r="I2610" s="465">
        <v>36.37959</v>
      </c>
      <c r="J2610" s="465">
        <v>136.2414</v>
      </c>
      <c r="K2610" s="465">
        <v>14499.56611</v>
      </c>
      <c r="L2610" s="464" t="s">
        <v>539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horný vozík 18mm - 2ks</v>
      </c>
      <c r="C2611" s="185">
        <f t="shared" si="81"/>
        <v>7.2082600000000001</v>
      </c>
      <c r="D2611" s="409" t="s">
        <v>2787</v>
      </c>
      <c r="E2611" s="409" t="s">
        <v>3858</v>
      </c>
      <c r="F2611" s="409" t="s">
        <v>3859</v>
      </c>
      <c r="G2611" s="409" t="s">
        <v>3860</v>
      </c>
      <c r="H2611" s="465">
        <v>212.73766000000001</v>
      </c>
      <c r="I2611" s="465">
        <v>7.2082600000000001</v>
      </c>
      <c r="J2611" s="465">
        <v>25.245000000000001</v>
      </c>
      <c r="K2611" s="465">
        <v>2954.3665799999999</v>
      </c>
      <c r="L2611" s="464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Doubler ll spodné vedenie 4,05m strieborná</v>
      </c>
      <c r="C2612" s="185">
        <f t="shared" si="81"/>
        <v>34.505969999999998</v>
      </c>
      <c r="D2612" s="409" t="s">
        <v>2788</v>
      </c>
      <c r="E2612" s="409" t="s">
        <v>4837</v>
      </c>
      <c r="F2612" s="409" t="s">
        <v>4838</v>
      </c>
      <c r="G2612" s="409" t="s">
        <v>4839</v>
      </c>
      <c r="H2612" s="465">
        <v>959.68983000000003</v>
      </c>
      <c r="I2612" s="465">
        <v>34.505969999999998</v>
      </c>
      <c r="J2612" s="465">
        <v>127.0206</v>
      </c>
      <c r="K2612" s="465">
        <v>13752.807430000001</v>
      </c>
      <c r="L2612" s="464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HOR. VEDENIE COMFORT 1,70 M STR.</v>
      </c>
      <c r="C2613" s="185">
        <f t="shared" si="81"/>
        <v>30.082129999999999</v>
      </c>
      <c r="D2613" s="409" t="s">
        <v>2789</v>
      </c>
      <c r="E2613" s="409" t="s">
        <v>4766</v>
      </c>
      <c r="F2613" s="409" t="s">
        <v>4767</v>
      </c>
      <c r="G2613" s="409" t="s">
        <v>4768</v>
      </c>
      <c r="H2613" s="465">
        <v>836.65268000000003</v>
      </c>
      <c r="I2613" s="465">
        <v>30.082129999999999</v>
      </c>
      <c r="J2613" s="465">
        <v>108.3036</v>
      </c>
      <c r="K2613" s="465">
        <v>11989.627</v>
      </c>
      <c r="L2613" s="464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Comfort horné vedenie 1,7m oliva</v>
      </c>
      <c r="C2614" s="185">
        <f t="shared" si="81"/>
        <v>37.550609999999999</v>
      </c>
      <c r="D2614" s="409" t="s">
        <v>2790</v>
      </c>
      <c r="E2614" s="409" t="s">
        <v>4797</v>
      </c>
      <c r="F2614" s="409" t="s">
        <v>1187</v>
      </c>
      <c r="G2614" s="409" t="s">
        <v>4798</v>
      </c>
      <c r="H2614" s="465">
        <v>1044.36833</v>
      </c>
      <c r="I2614" s="465">
        <v>37.550609999999999</v>
      </c>
      <c r="J2614" s="465">
        <v>129.12701999999999</v>
      </c>
      <c r="K2614" s="465">
        <v>14966.29012</v>
      </c>
      <c r="L2614" s="464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HOR.VEDENIE COMFORT 2,35 M OLIVA</v>
      </c>
      <c r="C2615" s="185">
        <f t="shared" si="81"/>
        <v>51.915089999999999</v>
      </c>
      <c r="D2615" s="409" t="s">
        <v>2791</v>
      </c>
      <c r="E2615" s="409" t="s">
        <v>4934</v>
      </c>
      <c r="F2615" s="409" t="s">
        <v>4935</v>
      </c>
      <c r="G2615" s="409" t="s">
        <v>4936</v>
      </c>
      <c r="H2615" s="465">
        <v>1443.8772300000001</v>
      </c>
      <c r="I2615" s="465">
        <v>51.915089999999999</v>
      </c>
      <c r="J2615" s="465">
        <v>178.52282</v>
      </c>
      <c r="K2615" s="465">
        <v>20691.440979999999</v>
      </c>
      <c r="L2615" s="464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HOR.VEDENIE COMFORT 3 M OLIVA</v>
      </c>
      <c r="C2616" s="185">
        <f t="shared" si="81"/>
        <v>66.279560000000004</v>
      </c>
      <c r="D2616" s="409" t="s">
        <v>2792</v>
      </c>
      <c r="E2616" s="409" t="s">
        <v>5003</v>
      </c>
      <c r="F2616" s="409" t="s">
        <v>5004</v>
      </c>
      <c r="G2616" s="409" t="s">
        <v>5005</v>
      </c>
      <c r="H2616" s="465">
        <v>1843.3861099999999</v>
      </c>
      <c r="I2616" s="465">
        <v>66.279560000000004</v>
      </c>
      <c r="J2616" s="465">
        <v>227.9186</v>
      </c>
      <c r="K2616" s="465">
        <v>26416.59144</v>
      </c>
      <c r="L2616" s="464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HOR.VEDENIE COMFORT 4,05 M OLIVA</v>
      </c>
      <c r="C2617" s="185">
        <f t="shared" si="81"/>
        <v>89.465699999999998</v>
      </c>
      <c r="D2617" s="409" t="s">
        <v>2793</v>
      </c>
      <c r="E2617" s="409" t="s">
        <v>5056</v>
      </c>
      <c r="F2617" s="409" t="s">
        <v>5057</v>
      </c>
      <c r="G2617" s="409" t="s">
        <v>5058</v>
      </c>
      <c r="H2617" s="465">
        <v>2488.2455599999998</v>
      </c>
      <c r="I2617" s="465">
        <v>89.465699999999998</v>
      </c>
      <c r="J2617" s="465">
        <v>307.64983999999998</v>
      </c>
      <c r="K2617" s="465">
        <v>35657.731119999997</v>
      </c>
      <c r="L2617" s="464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str">
        <f t="shared" si="80"/>
        <v>SEVROLL Maxim sada kovánia pre 3 dvere 2,5m strieborná</v>
      </c>
      <c r="C2618" s="185" t="e">
        <f t="shared" si="81"/>
        <v>#N/A</v>
      </c>
      <c r="D2618" s="409" t="s">
        <v>2794</v>
      </c>
      <c r="E2618" s="409" t="s">
        <v>4955</v>
      </c>
      <c r="F2618" s="409" t="s">
        <v>4956</v>
      </c>
      <c r="G2618" s="409" t="s">
        <v>4957</v>
      </c>
      <c r="H2618" s="465" t="e">
        <v>#N/A</v>
      </c>
      <c r="I2618" s="465" t="e">
        <v>#N/A</v>
      </c>
      <c r="J2618" s="465" t="e">
        <v>#N/A</v>
      </c>
      <c r="K2618" s="465" t="e">
        <v>#N/A</v>
      </c>
      <c r="L2618" s="464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úchytová lišta 2,7m strieborná</v>
      </c>
      <c r="C2619" s="185">
        <f t="shared" si="81"/>
        <v>25.21069</v>
      </c>
      <c r="D2619" s="409" t="s">
        <v>2795</v>
      </c>
      <c r="E2619" s="409" t="s">
        <v>4711</v>
      </c>
      <c r="F2619" s="409" t="s">
        <v>4712</v>
      </c>
      <c r="G2619" s="409" t="s">
        <v>4713</v>
      </c>
      <c r="H2619" s="465">
        <v>701.31179999999995</v>
      </c>
      <c r="I2619" s="465">
        <v>25.21069</v>
      </c>
      <c r="J2619" s="465">
        <v>90.78</v>
      </c>
      <c r="K2619" s="465">
        <v>10050.128409999999</v>
      </c>
      <c r="L2619" s="464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úchytová lišta 2,7m oliva</v>
      </c>
      <c r="C2620" s="185">
        <f t="shared" si="81"/>
        <v>31.513369999999998</v>
      </c>
      <c r="D2620" s="409" t="s">
        <v>2796</v>
      </c>
      <c r="E2620" s="409" t="s">
        <v>4761</v>
      </c>
      <c r="F2620" s="409" t="s">
        <v>2796</v>
      </c>
      <c r="G2620" s="409" t="s">
        <v>4762</v>
      </c>
      <c r="H2620" s="465">
        <v>876.4588</v>
      </c>
      <c r="I2620" s="465">
        <v>31.513369999999998</v>
      </c>
      <c r="J2620" s="465">
        <v>108.36648</v>
      </c>
      <c r="K2620" s="465">
        <v>12560.067520000001</v>
      </c>
      <c r="L2620" s="464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Master úch.lišta 3m strieborná</v>
      </c>
      <c r="C2621" s="185">
        <f t="shared" si="81"/>
        <v>28.026340000000001</v>
      </c>
      <c r="D2621" s="409" t="s">
        <v>2797</v>
      </c>
      <c r="E2621" s="409" t="s">
        <v>4804</v>
      </c>
      <c r="F2621" s="409" t="s">
        <v>1231</v>
      </c>
      <c r="G2621" s="409" t="s">
        <v>4805</v>
      </c>
      <c r="H2621" s="465">
        <v>779.47658000000001</v>
      </c>
      <c r="I2621" s="465">
        <v>28.026340000000001</v>
      </c>
      <c r="J2621" s="465">
        <v>100.85760000000001</v>
      </c>
      <c r="K2621" s="465">
        <v>11170.26665</v>
      </c>
      <c r="L2621" s="464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úchytová lišta 3m oliva</v>
      </c>
      <c r="C2622" s="185">
        <f t="shared" si="81"/>
        <v>35.026420000000002</v>
      </c>
      <c r="D2622" s="409" t="s">
        <v>2798</v>
      </c>
      <c r="E2622" s="409" t="s">
        <v>4833</v>
      </c>
      <c r="F2622" s="409" t="s">
        <v>2798</v>
      </c>
      <c r="G2622" s="409" t="s">
        <v>4834</v>
      </c>
      <c r="H2622" s="465">
        <v>974.16479000000004</v>
      </c>
      <c r="I2622" s="465">
        <v>35.026420000000002</v>
      </c>
      <c r="J2622" s="465">
        <v>120.44696999999999</v>
      </c>
      <c r="K2622" s="465">
        <v>13960.240400000001</v>
      </c>
      <c r="L2622" s="464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str">
        <f t="shared" si="80"/>
        <v>SEVROLL 02021 Maxim vodiaca lišta 1,8m strieborná</v>
      </c>
      <c r="C2623" s="185" t="e">
        <f t="shared" si="81"/>
        <v>#N/A</v>
      </c>
      <c r="D2623" s="409" t="s">
        <v>2799</v>
      </c>
      <c r="E2623" s="409" t="s">
        <v>4340</v>
      </c>
      <c r="F2623" s="409" t="s">
        <v>4341</v>
      </c>
      <c r="G2623" s="409" t="s">
        <v>4342</v>
      </c>
      <c r="H2623" s="465" t="e">
        <v>#N/A</v>
      </c>
      <c r="I2623" s="465" t="e">
        <v>#N/A</v>
      </c>
      <c r="J2623" s="465" t="e">
        <v>#N/A</v>
      </c>
      <c r="K2623" s="465" t="e">
        <v>#N/A</v>
      </c>
      <c r="L2623" s="464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str">
        <f t="shared" si="80"/>
        <v>SEVROLL Maxim vod. Lišta 2,5m strieborná</v>
      </c>
      <c r="C2624" s="185" t="e">
        <f t="shared" si="81"/>
        <v>#N/A</v>
      </c>
      <c r="D2624" s="409" t="s">
        <v>2800</v>
      </c>
      <c r="E2624" s="409" t="s">
        <v>4577</v>
      </c>
      <c r="F2624" s="409" t="s">
        <v>1227</v>
      </c>
      <c r="G2624" s="409" t="s">
        <v>4578</v>
      </c>
      <c r="H2624" s="465" t="e">
        <v>#N/A</v>
      </c>
      <c r="I2624" s="465" t="e">
        <v>#N/A</v>
      </c>
      <c r="J2624" s="465" t="e">
        <v>#N/A</v>
      </c>
      <c r="K2624" s="465" t="e">
        <v>#N/A</v>
      </c>
      <c r="L2624" s="464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str">
        <f t="shared" si="80"/>
        <v>SEVROLL MAXIM VOD.LIŠTA 3,5 M STRIEBORNA</v>
      </c>
      <c r="C2625" s="185" t="e">
        <f t="shared" si="81"/>
        <v>#N/A</v>
      </c>
      <c r="D2625" s="409" t="s">
        <v>2801</v>
      </c>
      <c r="E2625" s="409" t="s">
        <v>4801</v>
      </c>
      <c r="F2625" s="409" t="s">
        <v>4802</v>
      </c>
      <c r="G2625" s="409" t="s">
        <v>4803</v>
      </c>
      <c r="H2625" s="465" t="e">
        <v>#N/A</v>
      </c>
      <c r="I2625" s="465" t="e">
        <v>#N/A</v>
      </c>
      <c r="J2625" s="465" t="e">
        <v>#N/A</v>
      </c>
      <c r="K2625" s="465" t="e">
        <v>#N/A</v>
      </c>
      <c r="L2625" s="464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str">
        <f t="shared" si="80"/>
        <v>SEVROLL MAXIM VOD.LIŠTA 4,3 M STRIEBORNA</v>
      </c>
      <c r="C2626" s="185" t="e">
        <f t="shared" si="81"/>
        <v>#N/A</v>
      </c>
      <c r="D2626" s="409" t="s">
        <v>2802</v>
      </c>
      <c r="E2626" s="409" t="s">
        <v>4902</v>
      </c>
      <c r="F2626" s="409" t="s">
        <v>4903</v>
      </c>
      <c r="G2626" s="409" t="s">
        <v>4904</v>
      </c>
      <c r="H2626" s="465" t="e">
        <v>#N/A</v>
      </c>
      <c r="I2626" s="465" t="e">
        <v>#N/A</v>
      </c>
      <c r="J2626" s="465" t="e">
        <v>#N/A</v>
      </c>
      <c r="K2626" s="465" t="e">
        <v>#N/A</v>
      </c>
      <c r="L2626" s="464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str">
        <f t="shared" si="80"/>
        <v>SEVROLL 02804 Maxim spodná krycia lišta 1,8m 18mm strieborná</v>
      </c>
      <c r="C2627" s="185" t="e">
        <f t="shared" si="81"/>
        <v>#N/A</v>
      </c>
      <c r="D2627" s="409" t="s">
        <v>2803</v>
      </c>
      <c r="E2627" s="409" t="s">
        <v>4569</v>
      </c>
      <c r="F2627" s="409" t="s">
        <v>4570</v>
      </c>
      <c r="G2627" s="409" t="s">
        <v>4571</v>
      </c>
      <c r="H2627" s="465" t="e">
        <v>#N/A</v>
      </c>
      <c r="I2627" s="465" t="e">
        <v>#N/A</v>
      </c>
      <c r="J2627" s="465" t="e">
        <v>#N/A</v>
      </c>
      <c r="K2627" s="465" t="e">
        <v>#N/A</v>
      </c>
      <c r="L2627" s="464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str">
        <f t="shared" ref="B2628:B2691" si="82">IF($A$2=1,D2628,IF($A$2=2,F2628,IF($A$2=3,G2628,IF($A$2=4,E2628,IF($A$2&gt;4,P2628,"zadat jazyk")))))</f>
        <v>SEVROLL Maxim spod.krycia lišta 2,5m 18mm strieborná</v>
      </c>
      <c r="C2628" s="185" t="e">
        <f t="shared" ref="C2628:C2691" si="83">IF($A$2=1,H2628,IF($A$2=2,I2628,IF($A$2=3,J2628,IF($A$2=4,K2628,IF($A$2&gt;4,O2628,"zadat jazyk")))))</f>
        <v>#N/A</v>
      </c>
      <c r="D2628" s="409" t="s">
        <v>2804</v>
      </c>
      <c r="E2628" s="409" t="s">
        <v>4818</v>
      </c>
      <c r="F2628" s="409" t="s">
        <v>4819</v>
      </c>
      <c r="G2628" s="409" t="s">
        <v>4820</v>
      </c>
      <c r="H2628" s="465" t="e">
        <v>#N/A</v>
      </c>
      <c r="I2628" s="465" t="e">
        <v>#N/A</v>
      </c>
      <c r="J2628" s="465" t="e">
        <v>#N/A</v>
      </c>
      <c r="K2628" s="465" t="e">
        <v>#N/A</v>
      </c>
      <c r="L2628" s="464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str">
        <f t="shared" si="82"/>
        <v>SEVROLL Maxim spod.krycia lišta 3,5m 18mm strieborná</v>
      </c>
      <c r="C2629" s="185" t="e">
        <f t="shared" si="83"/>
        <v>#N/A</v>
      </c>
      <c r="D2629" s="409" t="s">
        <v>2805</v>
      </c>
      <c r="E2629" s="409" t="s">
        <v>4940</v>
      </c>
      <c r="F2629" s="409" t="s">
        <v>4941</v>
      </c>
      <c r="G2629" s="409" t="s">
        <v>4942</v>
      </c>
      <c r="H2629" s="465" t="e">
        <v>#N/A</v>
      </c>
      <c r="I2629" s="465" t="e">
        <v>#N/A</v>
      </c>
      <c r="J2629" s="465" t="e">
        <v>#N/A</v>
      </c>
      <c r="K2629" s="465" t="e">
        <v>#N/A</v>
      </c>
      <c r="L2629" s="464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str">
        <f t="shared" si="82"/>
        <v>SEVROLL Maxim spod.krycia lišta 4,3m 18mm strieborná</v>
      </c>
      <c r="C2630" s="185" t="e">
        <f t="shared" si="83"/>
        <v>#N/A</v>
      </c>
      <c r="D2630" s="409" t="s">
        <v>2806</v>
      </c>
      <c r="E2630" s="409" t="s">
        <v>5009</v>
      </c>
      <c r="F2630" s="409" t="s">
        <v>5010</v>
      </c>
      <c r="G2630" s="409" t="s">
        <v>5011</v>
      </c>
      <c r="H2630" s="465" t="e">
        <v>#N/A</v>
      </c>
      <c r="I2630" s="465" t="e">
        <v>#N/A</v>
      </c>
      <c r="J2630" s="465" t="e">
        <v>#N/A</v>
      </c>
      <c r="K2630" s="465" t="e">
        <v>#N/A</v>
      </c>
      <c r="L2630" s="464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str">
        <f t="shared" si="82"/>
        <v>SEVROLL SPOJ.LIŠTA H25 2,5M str.</v>
      </c>
      <c r="C2631" s="185" t="e">
        <f t="shared" si="83"/>
        <v>#N/A</v>
      </c>
      <c r="D2631" s="409" t="s">
        <v>2807</v>
      </c>
      <c r="E2631" s="409" t="s">
        <v>4522</v>
      </c>
      <c r="F2631" s="409" t="s">
        <v>4523</v>
      </c>
      <c r="G2631" s="409" t="s">
        <v>4524</v>
      </c>
      <c r="H2631" s="465" t="e">
        <v>#N/A</v>
      </c>
      <c r="I2631" s="465" t="e">
        <v>#N/A</v>
      </c>
      <c r="J2631" s="465" t="e">
        <v>#N/A</v>
      </c>
      <c r="K2631" s="465" t="e">
        <v>#N/A</v>
      </c>
      <c r="L2631" s="464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str">
        <f t="shared" si="82"/>
        <v>SEVROLL 01881 Maxim spojovacia lišta H18 1,8m strieborná</v>
      </c>
      <c r="C2632" s="185" t="e">
        <f t="shared" si="83"/>
        <v>#N/A</v>
      </c>
      <c r="D2632" s="409" t="s">
        <v>2808</v>
      </c>
      <c r="E2632" s="409" t="s">
        <v>3872</v>
      </c>
      <c r="F2632" s="409" t="s">
        <v>3873</v>
      </c>
      <c r="G2632" s="409" t="s">
        <v>3874</v>
      </c>
      <c r="H2632" s="465" t="e">
        <v>#N/A</v>
      </c>
      <c r="I2632" s="465" t="e">
        <v>#N/A</v>
      </c>
      <c r="J2632" s="465" t="e">
        <v>#N/A</v>
      </c>
      <c r="K2632" s="465" t="e">
        <v>#N/A</v>
      </c>
      <c r="L2632" s="464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SPOJ.LIŠTA H18 2,5M str.</v>
      </c>
      <c r="C2633" s="185">
        <f t="shared" si="83"/>
        <v>10.30363</v>
      </c>
      <c r="D2633" s="409" t="s">
        <v>2809</v>
      </c>
      <c r="E2633" s="409" t="s">
        <v>4112</v>
      </c>
      <c r="F2633" s="409" t="s">
        <v>4113</v>
      </c>
      <c r="G2633" s="409" t="s">
        <v>4114</v>
      </c>
      <c r="H2633" s="465">
        <v>272.31103000000002</v>
      </c>
      <c r="I2633" s="465">
        <v>10.30363</v>
      </c>
      <c r="J2633" s="465">
        <v>36.509929999999997</v>
      </c>
      <c r="K2633" s="465">
        <v>4046.7862500000001</v>
      </c>
      <c r="L2633" s="464" t="s">
        <v>540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str">
        <f t="shared" si="82"/>
        <v>SEVROLL 02023 Maxim horné vedenie 1,8m strieborná</v>
      </c>
      <c r="C2634" s="185" t="e">
        <f t="shared" si="83"/>
        <v>#N/A</v>
      </c>
      <c r="D2634" s="409" t="s">
        <v>2810</v>
      </c>
      <c r="E2634" s="409" t="s">
        <v>4548</v>
      </c>
      <c r="F2634" s="409" t="s">
        <v>4549</v>
      </c>
      <c r="G2634" s="409" t="s">
        <v>4550</v>
      </c>
      <c r="H2634" s="465" t="e">
        <v>#N/A</v>
      </c>
      <c r="I2634" s="465" t="e">
        <v>#N/A</v>
      </c>
      <c r="J2634" s="465" t="e">
        <v>#N/A</v>
      </c>
      <c r="K2634" s="465" t="e">
        <v>#N/A</v>
      </c>
      <c r="L2634" s="464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Maxim horné vedenie 2,5m str.</v>
      </c>
      <c r="C2635" s="185">
        <f t="shared" si="83"/>
        <v>28.511769999999999</v>
      </c>
      <c r="D2635" s="409" t="s">
        <v>2811</v>
      </c>
      <c r="E2635" s="409" t="s">
        <v>4775</v>
      </c>
      <c r="F2635" s="409" t="s">
        <v>1230</v>
      </c>
      <c r="G2635" s="409" t="s">
        <v>4776</v>
      </c>
      <c r="H2635" s="465">
        <v>753.52733999999998</v>
      </c>
      <c r="I2635" s="465">
        <v>28.511769999999999</v>
      </c>
      <c r="J2635" s="465">
        <v>101.0287</v>
      </c>
      <c r="K2635" s="465">
        <v>11198.092360000001</v>
      </c>
      <c r="L2635" s="464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HORNÉ VEDENIE MAXIM 3,5M STR.</v>
      </c>
      <c r="C2636" s="185">
        <f t="shared" si="83"/>
        <v>39.825560000000003</v>
      </c>
      <c r="D2636" s="409" t="s">
        <v>2812</v>
      </c>
      <c r="E2636" s="409" t="s">
        <v>4931</v>
      </c>
      <c r="F2636" s="409" t="s">
        <v>4932</v>
      </c>
      <c r="G2636" s="409" t="s">
        <v>4933</v>
      </c>
      <c r="H2636" s="465">
        <v>1052.5355300000001</v>
      </c>
      <c r="I2636" s="465">
        <v>39.825560000000003</v>
      </c>
      <c r="J2636" s="465">
        <v>141.11804000000001</v>
      </c>
      <c r="K2636" s="465">
        <v>15641.622359999999</v>
      </c>
      <c r="L2636" s="464" t="s">
        <v>540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HORNÉ VEDENIE MAXIM 4,3M STR.</v>
      </c>
      <c r="C2637" s="185">
        <f t="shared" si="83"/>
        <v>48.967509999999997</v>
      </c>
      <c r="D2637" s="409" t="s">
        <v>2813</v>
      </c>
      <c r="E2637" s="409" t="s">
        <v>4987</v>
      </c>
      <c r="F2637" s="409" t="s">
        <v>4988</v>
      </c>
      <c r="G2637" s="409" t="s">
        <v>4989</v>
      </c>
      <c r="H2637" s="465">
        <v>1294.14483</v>
      </c>
      <c r="I2637" s="465">
        <v>48.967509999999997</v>
      </c>
      <c r="J2637" s="465">
        <v>173.51165</v>
      </c>
      <c r="K2637" s="465">
        <v>19232.153289999998</v>
      </c>
      <c r="L2637" s="464" t="s">
        <v>540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horná vodiaca lišta 1,7m oliva kart</v>
      </c>
      <c r="C2638" s="185">
        <f t="shared" si="83"/>
        <v>13.11539</v>
      </c>
      <c r="D2638" s="409" t="s">
        <v>2814</v>
      </c>
      <c r="E2638" s="409" t="s">
        <v>5311</v>
      </c>
      <c r="F2638" s="409" t="s">
        <v>1242</v>
      </c>
      <c r="G2638" s="409" t="s">
        <v>5312</v>
      </c>
      <c r="H2638" s="465">
        <v>364.76897000000002</v>
      </c>
      <c r="I2638" s="465">
        <v>13.11539</v>
      </c>
      <c r="J2638" s="465">
        <v>63.382800000000003</v>
      </c>
      <c r="K2638" s="465">
        <v>5227.3111900000004</v>
      </c>
      <c r="L2638" s="464" t="s">
        <v>538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horná vodiaca lišta 2,35m oliva kart</v>
      </c>
      <c r="C2639" s="185">
        <f t="shared" si="83"/>
        <v>18.189800000000002</v>
      </c>
      <c r="D2639" s="409" t="s">
        <v>2815</v>
      </c>
      <c r="E2639" s="409" t="s">
        <v>5327</v>
      </c>
      <c r="F2639" s="409" t="s">
        <v>1240</v>
      </c>
      <c r="G2639" s="409" t="s">
        <v>5328</v>
      </c>
      <c r="H2639" s="465">
        <v>505.89983999999998</v>
      </c>
      <c r="I2639" s="465">
        <v>18.189800000000002</v>
      </c>
      <c r="J2639" s="465">
        <v>87.638400000000004</v>
      </c>
      <c r="K2639" s="465">
        <v>7249.78305</v>
      </c>
      <c r="L2639" s="464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horná vodiaca lišta 3m oliva kartáč.</v>
      </c>
      <c r="C2640" s="185">
        <f t="shared" si="83"/>
        <v>23.186140000000002</v>
      </c>
      <c r="D2640" s="409" t="s">
        <v>2816</v>
      </c>
      <c r="E2640" s="409" t="s">
        <v>5346</v>
      </c>
      <c r="F2640" s="409" t="s">
        <v>1238</v>
      </c>
      <c r="G2640" s="409" t="s">
        <v>5347</v>
      </c>
      <c r="H2640" s="465">
        <v>644.85945000000004</v>
      </c>
      <c r="I2640" s="465">
        <v>23.186140000000002</v>
      </c>
      <c r="J2640" s="465">
        <v>111.41459999999999</v>
      </c>
      <c r="K2640" s="465">
        <v>9241.13969</v>
      </c>
      <c r="L2640" s="464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spod. krycia lišta 1,7m 10mm oliva kartáč</v>
      </c>
      <c r="C2641" s="185">
        <f t="shared" si="83"/>
        <v>22.27535</v>
      </c>
      <c r="D2641" s="409" t="s">
        <v>2817</v>
      </c>
      <c r="E2641" s="409" t="s">
        <v>5497</v>
      </c>
      <c r="F2641" s="409" t="s">
        <v>5498</v>
      </c>
      <c r="G2641" s="409" t="s">
        <v>5499</v>
      </c>
      <c r="H2641" s="465">
        <v>619.52828</v>
      </c>
      <c r="I2641" s="465">
        <v>22.27535</v>
      </c>
      <c r="J2641" s="465">
        <v>76.599260000000001</v>
      </c>
      <c r="K2641" s="465">
        <v>8878.1321399999997</v>
      </c>
      <c r="L2641" s="464" t="s">
        <v>538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spod.krycia lišta 2,35m 10mm oliva kartáč</v>
      </c>
      <c r="C2642" s="185">
        <f t="shared" si="83"/>
        <v>30.836780000000001</v>
      </c>
      <c r="D2642" s="409" t="s">
        <v>2818</v>
      </c>
      <c r="E2642" s="409" t="s">
        <v>5512</v>
      </c>
      <c r="F2642" s="409" t="s">
        <v>5513</v>
      </c>
      <c r="G2642" s="409" t="s">
        <v>5514</v>
      </c>
      <c r="H2642" s="465">
        <v>857.64137000000005</v>
      </c>
      <c r="I2642" s="465">
        <v>30.836780000000001</v>
      </c>
      <c r="J2642" s="465">
        <v>106.03986999999999</v>
      </c>
      <c r="K2642" s="465">
        <v>12290.40488</v>
      </c>
      <c r="L2642" s="464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spod.krycia lišta 3m 10mm oliva kartáč.</v>
      </c>
      <c r="C2643" s="185">
        <f t="shared" si="83"/>
        <v>39.398220000000002</v>
      </c>
      <c r="D2643" s="409" t="s">
        <v>2819</v>
      </c>
      <c r="E2643" s="409" t="s">
        <v>5530</v>
      </c>
      <c r="F2643" s="409" t="s">
        <v>5531</v>
      </c>
      <c r="G2643" s="409" t="s">
        <v>5532</v>
      </c>
      <c r="H2643" s="465">
        <v>1095.75443</v>
      </c>
      <c r="I2643" s="465">
        <v>39.398220000000002</v>
      </c>
      <c r="J2643" s="465">
        <v>135.48047</v>
      </c>
      <c r="K2643" s="465">
        <v>15702.6772</v>
      </c>
      <c r="L2643" s="464" t="s">
        <v>538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Gemini HORNÉ VEDENIE 1,70M OLIVA</v>
      </c>
      <c r="C2644" s="185">
        <f t="shared" si="83"/>
        <v>24.331130000000002</v>
      </c>
      <c r="D2644" s="409" t="s">
        <v>2820</v>
      </c>
      <c r="E2644" s="409" t="s">
        <v>5252</v>
      </c>
      <c r="F2644" s="409" t="s">
        <v>5253</v>
      </c>
      <c r="G2644" s="409" t="s">
        <v>5254</v>
      </c>
      <c r="H2644" s="465">
        <v>676.70438000000001</v>
      </c>
      <c r="I2644" s="465">
        <v>24.331130000000002</v>
      </c>
      <c r="J2644" s="465">
        <v>84.170400000000001</v>
      </c>
      <c r="K2644" s="465">
        <v>9697.4924900000005</v>
      </c>
      <c r="L2644" s="464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horné vedenie 3m oliva</v>
      </c>
      <c r="C2645" s="185">
        <f t="shared" si="83"/>
        <v>39.502310000000001</v>
      </c>
      <c r="D2645" s="409" t="s">
        <v>2821</v>
      </c>
      <c r="E2645" s="409" t="s">
        <v>4853</v>
      </c>
      <c r="F2645" s="409" t="s">
        <v>4854</v>
      </c>
      <c r="G2645" s="409" t="s">
        <v>4855</v>
      </c>
      <c r="H2645" s="465">
        <v>1047.2737500000001</v>
      </c>
      <c r="I2645" s="465">
        <v>39.502310000000001</v>
      </c>
      <c r="J2645" s="465">
        <v>134.77080000000001</v>
      </c>
      <c r="K2645" s="465">
        <v>15297.97315</v>
      </c>
      <c r="L2645" s="464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Gemini horné vedenie 2,35M OLIVA</v>
      </c>
      <c r="C2646" s="185">
        <f t="shared" si="83"/>
        <v>33.621200000000002</v>
      </c>
      <c r="D2646" s="409" t="s">
        <v>2822</v>
      </c>
      <c r="E2646" s="409" t="s">
        <v>5263</v>
      </c>
      <c r="F2646" s="409" t="s">
        <v>5264</v>
      </c>
      <c r="G2646" s="409" t="s">
        <v>5265</v>
      </c>
      <c r="H2646" s="465">
        <v>935.08237999999994</v>
      </c>
      <c r="I2646" s="465">
        <v>33.621200000000002</v>
      </c>
      <c r="J2646" s="465">
        <v>116.5962</v>
      </c>
      <c r="K2646" s="465">
        <v>13400.17109</v>
      </c>
      <c r="L2646" s="464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Gemini horné vedenie 3M OLIVA KA</v>
      </c>
      <c r="C2647" s="185">
        <f t="shared" si="83"/>
        <v>42.911270000000002</v>
      </c>
      <c r="D2647" s="409" t="s">
        <v>2823</v>
      </c>
      <c r="E2647" s="409" t="s">
        <v>5274</v>
      </c>
      <c r="F2647" s="409" t="s">
        <v>5275</v>
      </c>
      <c r="G2647" s="409" t="s">
        <v>5276</v>
      </c>
      <c r="H2647" s="465">
        <v>1193.4604200000001</v>
      </c>
      <c r="I2647" s="465">
        <v>42.911270000000002</v>
      </c>
      <c r="J2647" s="465">
        <v>148.83840000000001</v>
      </c>
      <c r="K2647" s="465">
        <v>17102.8501</v>
      </c>
      <c r="L2647" s="464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Gemini horné vedenie 4,05M oliva kartáčovaná</v>
      </c>
      <c r="C2648" s="185">
        <f t="shared" si="83"/>
        <v>57.926310000000001</v>
      </c>
      <c r="D2648" s="409" t="s">
        <v>2824</v>
      </c>
      <c r="E2648" s="409" t="s">
        <v>5285</v>
      </c>
      <c r="F2648" s="409" t="s">
        <v>5286</v>
      </c>
      <c r="G2648" s="409" t="s">
        <v>5287</v>
      </c>
      <c r="H2648" s="465">
        <v>1611.0630100000001</v>
      </c>
      <c r="I2648" s="465">
        <v>57.926310000000001</v>
      </c>
      <c r="J2648" s="465">
        <v>200.9196</v>
      </c>
      <c r="K2648" s="465">
        <v>23087.291969999998</v>
      </c>
      <c r="L2648" s="464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spodné vedenie  1,7m oliva kartáčovaná</v>
      </c>
      <c r="C2649" s="185">
        <f t="shared" si="83"/>
        <v>15.535489999999999</v>
      </c>
      <c r="D2649" s="409" t="s">
        <v>2825</v>
      </c>
      <c r="E2649" s="409" t="s">
        <v>5154</v>
      </c>
      <c r="F2649" s="409" t="s">
        <v>5155</v>
      </c>
      <c r="G2649" s="409" t="s">
        <v>5156</v>
      </c>
      <c r="H2649" s="465">
        <v>432.07754999999997</v>
      </c>
      <c r="I2649" s="465">
        <v>15.535489999999999</v>
      </c>
      <c r="J2649" s="465">
        <v>55.386000000000003</v>
      </c>
      <c r="K2649" s="465">
        <v>6191.8748900000001</v>
      </c>
      <c r="L2649" s="464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spodné vedenie  2,35m oliva kartáčovaná</v>
      </c>
      <c r="C2650" s="185">
        <f t="shared" si="83"/>
        <v>21.464729999999999</v>
      </c>
      <c r="D2650" s="409" t="s">
        <v>2826</v>
      </c>
      <c r="E2650" s="409" t="s">
        <v>5171</v>
      </c>
      <c r="F2650" s="409" t="s">
        <v>5172</v>
      </c>
      <c r="G2650" s="409" t="s">
        <v>5173</v>
      </c>
      <c r="H2650" s="465">
        <v>597.09209999999996</v>
      </c>
      <c r="I2650" s="465">
        <v>21.464729999999999</v>
      </c>
      <c r="J2650" s="465">
        <v>76.367400000000004</v>
      </c>
      <c r="K2650" s="465">
        <v>8556.6110499999995</v>
      </c>
      <c r="L2650" s="464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spodné vedenie  3m oliva kartáčovaná</v>
      </c>
      <c r="C2651" s="185">
        <f t="shared" si="83"/>
        <v>27.401800000000001</v>
      </c>
      <c r="D2651" s="409" t="s">
        <v>2827</v>
      </c>
      <c r="E2651" s="409" t="s">
        <v>5189</v>
      </c>
      <c r="F2651" s="409" t="s">
        <v>5190</v>
      </c>
      <c r="G2651" s="409" t="s">
        <v>5191</v>
      </c>
      <c r="H2651" s="465">
        <v>762.10661000000005</v>
      </c>
      <c r="I2651" s="465">
        <v>27.401800000000001</v>
      </c>
      <c r="J2651" s="465">
        <v>97.675200000000004</v>
      </c>
      <c r="K2651" s="465">
        <v>10921.346809999999</v>
      </c>
      <c r="L2651" s="464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spodné vedenie  4,05m oliva kartáčovaná</v>
      </c>
      <c r="C2652" s="185">
        <f t="shared" si="83"/>
        <v>37.00414</v>
      </c>
      <c r="D2652" s="409" t="s">
        <v>2828</v>
      </c>
      <c r="E2652" s="409" t="s">
        <v>5204</v>
      </c>
      <c r="F2652" s="409" t="s">
        <v>5205</v>
      </c>
      <c r="G2652" s="409" t="s">
        <v>5206</v>
      </c>
      <c r="H2652" s="465">
        <v>1029.1696199999999</v>
      </c>
      <c r="I2652" s="465">
        <v>37.00414</v>
      </c>
      <c r="J2652" s="465">
        <v>131.8554</v>
      </c>
      <c r="K2652" s="465">
        <v>14748.48552</v>
      </c>
      <c r="L2652" s="464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SPOJ.LIŠTA "H 10" 3M OLIVA kartáčovaná</v>
      </c>
      <c r="C2653" s="185">
        <f t="shared" si="83"/>
        <v>21.624780000000001</v>
      </c>
      <c r="D2653" s="409" t="s">
        <v>2829</v>
      </c>
      <c r="E2653" s="409" t="s">
        <v>4545</v>
      </c>
      <c r="F2653" s="409" t="s">
        <v>4546</v>
      </c>
      <c r="G2653" s="409" t="s">
        <v>4547</v>
      </c>
      <c r="H2653" s="465">
        <v>601.43457000000001</v>
      </c>
      <c r="I2653" s="465">
        <v>21.624780000000001</v>
      </c>
      <c r="J2653" s="465">
        <v>74.362139999999997</v>
      </c>
      <c r="K2653" s="465">
        <v>8618.8407000000007</v>
      </c>
      <c r="L2653" s="464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sada kovania ZSE-10</v>
      </c>
      <c r="C2654" s="185">
        <f t="shared" si="83"/>
        <v>47.621360000000003</v>
      </c>
      <c r="D2654" s="409" t="s">
        <v>1538</v>
      </c>
      <c r="E2654" s="409" t="s">
        <v>1967</v>
      </c>
      <c r="F2654" s="409" t="s">
        <v>6043</v>
      </c>
      <c r="G2654" s="409" t="s">
        <v>2477</v>
      </c>
      <c r="H2654" s="465">
        <v>1324.4588000000001</v>
      </c>
      <c r="I2654" s="465">
        <v>47.621360000000003</v>
      </c>
      <c r="J2654" s="465">
        <v>166.12739999999999</v>
      </c>
      <c r="K2654" s="465">
        <v>18980.118620000001</v>
      </c>
      <c r="L2654" s="464" t="s">
        <v>539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horné vedenie 1,2m strieborná</v>
      </c>
      <c r="C2655" s="185">
        <f t="shared" si="83"/>
        <v>13.0113</v>
      </c>
      <c r="D2655" s="409" t="s">
        <v>2830</v>
      </c>
      <c r="E2655" s="409" t="s">
        <v>4199</v>
      </c>
      <c r="F2655" s="409" t="s">
        <v>4200</v>
      </c>
      <c r="G2655" s="409" t="s">
        <v>4201</v>
      </c>
      <c r="H2655" s="465">
        <v>344.95182999999997</v>
      </c>
      <c r="I2655" s="465">
        <v>13.0113</v>
      </c>
      <c r="J2655" s="465">
        <v>44.390920000000001</v>
      </c>
      <c r="K2655" s="465">
        <v>5038.8580599999996</v>
      </c>
      <c r="L2655" s="464" t="s">
        <v>539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vrták stupňovitý 6,5/9,5mm</v>
      </c>
      <c r="C2656" s="185">
        <f t="shared" si="83"/>
        <v>26.752659999999999</v>
      </c>
      <c r="D2656" s="409" t="s">
        <v>2831</v>
      </c>
      <c r="E2656" s="409" t="s">
        <v>5703</v>
      </c>
      <c r="F2656" s="409" t="s">
        <v>2831</v>
      </c>
      <c r="G2656" s="409" t="s">
        <v>5704</v>
      </c>
      <c r="H2656" s="465">
        <v>671.23099999999999</v>
      </c>
      <c r="I2656" s="465">
        <v>26.752659999999999</v>
      </c>
      <c r="J2656" s="465">
        <v>116.85122</v>
      </c>
      <c r="K2656" s="465">
        <v>10898.66318</v>
      </c>
      <c r="L2656" s="464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montažný prípravok pre lamino 10mm veľký</v>
      </c>
      <c r="C2657" s="185">
        <f t="shared" si="83"/>
        <v>110.13077</v>
      </c>
      <c r="D2657" s="409" t="s">
        <v>2832</v>
      </c>
      <c r="E2657" s="409" t="s">
        <v>5722</v>
      </c>
      <c r="F2657" s="409" t="s">
        <v>5723</v>
      </c>
      <c r="G2657" s="409" t="s">
        <v>5724</v>
      </c>
      <c r="H2657" s="465">
        <v>2763.2087999999999</v>
      </c>
      <c r="I2657" s="465">
        <v>110.13077</v>
      </c>
      <c r="J2657" s="465">
        <v>506.41131999999999</v>
      </c>
      <c r="K2657" s="465">
        <v>47232.767570000004</v>
      </c>
      <c r="L2657" s="464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montážny prípravok pre lamino 10mm malý</v>
      </c>
      <c r="C2658" s="185">
        <f t="shared" si="83"/>
        <v>5.0214600000000003</v>
      </c>
      <c r="D2658" s="409" t="s">
        <v>2833</v>
      </c>
      <c r="E2658" s="409" t="s">
        <v>5731</v>
      </c>
      <c r="F2658" s="409" t="s">
        <v>5732</v>
      </c>
      <c r="G2658" s="409" t="s">
        <v>5733</v>
      </c>
      <c r="H2658" s="465">
        <v>125.9896</v>
      </c>
      <c r="I2658" s="465">
        <v>5.0214600000000003</v>
      </c>
      <c r="J2658" s="465">
        <v>21.91311</v>
      </c>
      <c r="K2658" s="465">
        <v>2043.8259700000001</v>
      </c>
      <c r="L2658" s="464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úchytová lišta 2,7m strieborná</v>
      </c>
      <c r="C2659" s="185">
        <f t="shared" si="83"/>
        <v>16.160029999999999</v>
      </c>
      <c r="D2659" s="409" t="s">
        <v>2834</v>
      </c>
      <c r="E2659" s="409" t="s">
        <v>4295</v>
      </c>
      <c r="F2659" s="409" t="s">
        <v>4296</v>
      </c>
      <c r="G2659" s="409" t="s">
        <v>4297</v>
      </c>
      <c r="H2659" s="465">
        <v>449.44749000000002</v>
      </c>
      <c r="I2659" s="465">
        <v>16.160029999999999</v>
      </c>
      <c r="J2659" s="465">
        <v>55.570270000000001</v>
      </c>
      <c r="K2659" s="465">
        <v>6440.7942999999996</v>
      </c>
      <c r="L2659" s="464" t="s">
        <v>539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spojovacia lišta T04 3m strieborná</v>
      </c>
      <c r="C2660" s="185">
        <f t="shared" si="83"/>
        <v>7.1822400000000002</v>
      </c>
      <c r="D2660" s="409" t="s">
        <v>2835</v>
      </c>
      <c r="E2660" s="409" t="s">
        <v>3811</v>
      </c>
      <c r="F2660" s="409" t="s">
        <v>3812</v>
      </c>
      <c r="G2660" s="409" t="s">
        <v>3813</v>
      </c>
      <c r="H2660" s="465">
        <v>199.75444999999999</v>
      </c>
      <c r="I2660" s="465">
        <v>7.1822400000000002</v>
      </c>
      <c r="J2660" s="465">
        <v>24.697890000000001</v>
      </c>
      <c r="K2660" s="465">
        <v>2862.5754299999999</v>
      </c>
      <c r="L2660" s="464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SPOJOVACia LIŠTA H04/18 3M OLIVA</v>
      </c>
      <c r="C2661" s="185">
        <f t="shared" si="83"/>
        <v>10.38302</v>
      </c>
      <c r="D2661" s="409" t="s">
        <v>4053</v>
      </c>
      <c r="E2661" s="409" t="s">
        <v>4054</v>
      </c>
      <c r="F2661" s="409" t="s">
        <v>4055</v>
      </c>
      <c r="G2661" s="409" t="s">
        <v>4056</v>
      </c>
      <c r="H2661" s="465">
        <v>288.77544999999998</v>
      </c>
      <c r="I2661" s="465">
        <v>10.38302</v>
      </c>
      <c r="J2661" s="465">
        <v>35.704569999999997</v>
      </c>
      <c r="K2661" s="465">
        <v>4138.2881900000002</v>
      </c>
      <c r="L2661" s="464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spodné vedenie 1,7m strieborná</v>
      </c>
      <c r="C2662" s="185">
        <f t="shared" si="83"/>
        <v>15.275270000000001</v>
      </c>
      <c r="D2662" s="409" t="s">
        <v>2836</v>
      </c>
      <c r="E2662" s="409" t="s">
        <v>4281</v>
      </c>
      <c r="F2662" s="409" t="s">
        <v>4282</v>
      </c>
      <c r="G2662" s="409" t="s">
        <v>4283</v>
      </c>
      <c r="H2662" s="465">
        <v>424.84007000000003</v>
      </c>
      <c r="I2662" s="465">
        <v>15.275270000000001</v>
      </c>
      <c r="J2662" s="465">
        <v>57.191400000000002</v>
      </c>
      <c r="K2662" s="465">
        <v>6088.1583799999999</v>
      </c>
      <c r="L2662" s="464" t="s">
        <v>539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tesnenie na sklo 10,1/8mm</v>
      </c>
      <c r="C2663" s="185">
        <f t="shared" si="83"/>
        <v>0.80669999999999997</v>
      </c>
      <c r="D2663" s="409" t="s">
        <v>2837</v>
      </c>
      <c r="E2663" s="409" t="s">
        <v>6168</v>
      </c>
      <c r="F2663" s="409" t="s">
        <v>6169</v>
      </c>
      <c r="G2663" s="409" t="s">
        <v>6170</v>
      </c>
      <c r="H2663" s="465">
        <v>23.80818</v>
      </c>
      <c r="I2663" s="465">
        <v>0.80669999999999997</v>
      </c>
      <c r="J2663" s="465">
        <v>2.7501000000000002</v>
      </c>
      <c r="K2663" s="465">
        <v>330.63301999999999</v>
      </c>
      <c r="L2663" s="464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SP.VOZÍK WD10 V DUO 60 KG</v>
      </c>
      <c r="C2664" s="185">
        <f t="shared" si="83"/>
        <v>0</v>
      </c>
      <c r="D2664" s="409" t="s">
        <v>2838</v>
      </c>
      <c r="E2664" s="409" t="s">
        <v>4063</v>
      </c>
      <c r="F2664" s="409" t="s">
        <v>4064</v>
      </c>
      <c r="G2664" s="409" t="s">
        <v>4065</v>
      </c>
      <c r="H2664" s="465">
        <v>0</v>
      </c>
      <c r="I2664" s="465">
        <v>0</v>
      </c>
      <c r="J2664" s="465">
        <v>0</v>
      </c>
      <c r="K2664" s="465">
        <v>0</v>
      </c>
      <c r="L2664" s="464" t="s">
        <v>540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Držiak tyče</v>
      </c>
      <c r="C2665" s="185">
        <f t="shared" si="83"/>
        <v>2.49817</v>
      </c>
      <c r="D2665" s="409" t="s">
        <v>1702</v>
      </c>
      <c r="E2665" s="409" t="s">
        <v>2134</v>
      </c>
      <c r="F2665" s="409" t="s">
        <v>6131</v>
      </c>
      <c r="G2665" s="409" t="s">
        <v>2610</v>
      </c>
      <c r="H2665" s="465">
        <v>69.479820000000004</v>
      </c>
      <c r="I2665" s="465">
        <v>2.49817</v>
      </c>
      <c r="J2665" s="465">
        <v>8.5905699999999996</v>
      </c>
      <c r="K2665" s="465">
        <v>995.67850999999996</v>
      </c>
      <c r="L2665" s="464" t="s">
        <v>539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nosník 2108mm strieborný</v>
      </c>
      <c r="C2666" s="185">
        <f t="shared" si="83"/>
        <v>16.290150000000001</v>
      </c>
      <c r="D2666" s="409" t="s">
        <v>1703</v>
      </c>
      <c r="E2666" s="409" t="s">
        <v>2135</v>
      </c>
      <c r="F2666" s="409" t="s">
        <v>6132</v>
      </c>
      <c r="G2666" s="409" t="s">
        <v>6133</v>
      </c>
      <c r="H2666" s="465">
        <v>453.06625000000003</v>
      </c>
      <c r="I2666" s="465">
        <v>16.290150000000001</v>
      </c>
      <c r="J2666" s="465">
        <v>56.017679999999999</v>
      </c>
      <c r="K2666" s="465">
        <v>6492.6527699999997</v>
      </c>
      <c r="L2666" s="464" t="s">
        <v>539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konzola 300mm strieborná</v>
      </c>
      <c r="C2667" s="185">
        <f t="shared" si="83"/>
        <v>3.9294099999999998</v>
      </c>
      <c r="D2667" s="409" t="s">
        <v>1704</v>
      </c>
      <c r="E2667" s="409" t="s">
        <v>2136</v>
      </c>
      <c r="F2667" s="409" t="s">
        <v>6134</v>
      </c>
      <c r="G2667" s="409" t="s">
        <v>2611</v>
      </c>
      <c r="H2667" s="465">
        <v>109.28594</v>
      </c>
      <c r="I2667" s="465">
        <v>3.9294099999999998</v>
      </c>
      <c r="J2667" s="465">
        <v>13.51225</v>
      </c>
      <c r="K2667" s="465">
        <v>1566.11904</v>
      </c>
      <c r="L2667" s="464" t="s">
        <v>539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konzola 500mm strieborná</v>
      </c>
      <c r="C2668" s="185">
        <f t="shared" si="83"/>
        <v>6.4015599999999999</v>
      </c>
      <c r="D2668" s="409" t="s">
        <v>1705</v>
      </c>
      <c r="E2668" s="409" t="s">
        <v>2137</v>
      </c>
      <c r="F2668" s="409" t="s">
        <v>6135</v>
      </c>
      <c r="G2668" s="409" t="s">
        <v>2612</v>
      </c>
      <c r="H2668" s="465">
        <v>178.04201</v>
      </c>
      <c r="I2668" s="465">
        <v>6.4015599999999999</v>
      </c>
      <c r="J2668" s="465">
        <v>22.013339999999999</v>
      </c>
      <c r="K2668" s="465">
        <v>2551.4259499999998</v>
      </c>
      <c r="L2668" s="464" t="s">
        <v>539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tyč priemer 25mm 1,2m strieborná</v>
      </c>
      <c r="C2669" s="185">
        <f t="shared" si="83"/>
        <v>7.0781499999999999</v>
      </c>
      <c r="D2669" s="409" t="s">
        <v>1706</v>
      </c>
      <c r="E2669" s="409" t="s">
        <v>2138</v>
      </c>
      <c r="F2669" s="409" t="s">
        <v>6136</v>
      </c>
      <c r="G2669" s="409" t="s">
        <v>2613</v>
      </c>
      <c r="H2669" s="465">
        <v>196.85945000000001</v>
      </c>
      <c r="I2669" s="465">
        <v>7.0781499999999999</v>
      </c>
      <c r="J2669" s="465">
        <v>24.339950000000002</v>
      </c>
      <c r="K2669" s="465">
        <v>2821.0885899999998</v>
      </c>
      <c r="L2669" s="464" t="s">
        <v>539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montažný klip silver</v>
      </c>
      <c r="C2670" s="185">
        <f t="shared" si="83"/>
        <v>0.44238</v>
      </c>
      <c r="D2670" s="409" t="s">
        <v>1707</v>
      </c>
      <c r="E2670" s="409" t="s">
        <v>2139</v>
      </c>
      <c r="F2670" s="409" t="s">
        <v>6137</v>
      </c>
      <c r="G2670" s="409" t="s">
        <v>6138</v>
      </c>
      <c r="H2670" s="465">
        <v>12.30372</v>
      </c>
      <c r="I2670" s="465">
        <v>0.44238</v>
      </c>
      <c r="J2670" s="465">
        <v>1.52125</v>
      </c>
      <c r="K2670" s="465">
        <v>176.31816000000001</v>
      </c>
      <c r="L2670" s="464" t="s">
        <v>539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záslepka tyče</v>
      </c>
      <c r="C2671" s="185">
        <f t="shared" si="83"/>
        <v>1.1970400000000001</v>
      </c>
      <c r="D2671" s="409" t="s">
        <v>1708</v>
      </c>
      <c r="E2671" s="409" t="s">
        <v>2140</v>
      </c>
      <c r="F2671" s="409" t="s">
        <v>1708</v>
      </c>
      <c r="G2671" s="409" t="s">
        <v>2614</v>
      </c>
      <c r="H2671" s="465">
        <v>35.328290000000003</v>
      </c>
      <c r="I2671" s="465">
        <v>1.1970400000000001</v>
      </c>
      <c r="J2671" s="465">
        <v>4.0144000000000002</v>
      </c>
      <c r="K2671" s="465">
        <v>490.61698000000001</v>
      </c>
      <c r="L2671" s="464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okrasná lišta S20 3m strieborná</v>
      </c>
      <c r="C2672" s="185">
        <f t="shared" si="83"/>
        <v>6.2194000000000003</v>
      </c>
      <c r="D2672" s="409" t="s">
        <v>2839</v>
      </c>
      <c r="E2672" s="409" t="s">
        <v>3832</v>
      </c>
      <c r="F2672" s="409" t="s">
        <v>1217</v>
      </c>
      <c r="G2672" s="409" t="s">
        <v>3833</v>
      </c>
      <c r="H2672" s="465">
        <v>172.97577000000001</v>
      </c>
      <c r="I2672" s="465">
        <v>6.2194000000000003</v>
      </c>
      <c r="J2672" s="465">
        <v>21.725999999999999</v>
      </c>
      <c r="K2672" s="465">
        <v>2478.8242700000001</v>
      </c>
      <c r="L2672" s="464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str">
        <f t="shared" si="82"/>
        <v>SEVROLL 50244 Ursus horné vedenie 1,8m surová</v>
      </c>
      <c r="C2673" s="185" t="e">
        <f t="shared" si="83"/>
        <v>#N/A</v>
      </c>
      <c r="D2673" s="409" t="s">
        <v>2840</v>
      </c>
      <c r="E2673" s="409" t="s">
        <v>4463</v>
      </c>
      <c r="F2673" s="409" t="s">
        <v>4464</v>
      </c>
      <c r="G2673" s="409" t="s">
        <v>4465</v>
      </c>
      <c r="H2673" s="465" t="e">
        <v>#N/A</v>
      </c>
      <c r="I2673" s="465" t="e">
        <v>#N/A</v>
      </c>
      <c r="J2673" s="465" t="e">
        <v>#N/A</v>
      </c>
      <c r="K2673" s="465" t="e">
        <v>#N/A</v>
      </c>
      <c r="L2673" s="464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horné vedenie 3m surová</v>
      </c>
      <c r="C2674" s="185">
        <f t="shared" si="83"/>
        <v>38.721629999999998</v>
      </c>
      <c r="D2674" s="409" t="s">
        <v>2841</v>
      </c>
      <c r="E2674" s="409" t="s">
        <v>4780</v>
      </c>
      <c r="F2674" s="409" t="s">
        <v>4781</v>
      </c>
      <c r="G2674" s="409" t="s">
        <v>4782</v>
      </c>
      <c r="H2674" s="465">
        <v>1026.57664</v>
      </c>
      <c r="I2674" s="465">
        <v>38.721629999999998</v>
      </c>
      <c r="J2674" s="465">
        <v>132.10735</v>
      </c>
      <c r="K2674" s="465">
        <v>14995.641670000001</v>
      </c>
      <c r="L2674" s="464" t="s">
        <v>539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str">
        <f t="shared" si="82"/>
        <v>SEVROLL 10022-SV Ursus sada kovania ZP-18 pro 1 krídlo</v>
      </c>
      <c r="C2675" s="185" t="e">
        <f t="shared" si="83"/>
        <v>#N/A</v>
      </c>
      <c r="D2675" s="409" t="s">
        <v>2842</v>
      </c>
      <c r="E2675" s="409" t="s">
        <v>4915</v>
      </c>
      <c r="F2675" s="409" t="s">
        <v>4916</v>
      </c>
      <c r="G2675" s="409" t="s">
        <v>4917</v>
      </c>
      <c r="H2675" s="465" t="e">
        <v>#N/A</v>
      </c>
      <c r="I2675" s="465" t="e">
        <v>#N/A</v>
      </c>
      <c r="J2675" s="465" t="e">
        <v>#N/A</v>
      </c>
      <c r="K2675" s="465" t="e">
        <v>#N/A</v>
      </c>
      <c r="L2675" s="464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horné vedenie 6m strieborná</v>
      </c>
      <c r="C2676" s="185">
        <f t="shared" si="83"/>
        <v>49.88532</v>
      </c>
      <c r="D2676" s="409" t="s">
        <v>2843</v>
      </c>
      <c r="E2676" s="409" t="s">
        <v>4943</v>
      </c>
      <c r="F2676" s="409" t="s">
        <v>4944</v>
      </c>
      <c r="G2676" s="409" t="s">
        <v>4945</v>
      </c>
      <c r="H2676" s="465">
        <v>1387.42489</v>
      </c>
      <c r="I2676" s="465">
        <v>49.88532</v>
      </c>
      <c r="J2676" s="465">
        <v>184.17554999999999</v>
      </c>
      <c r="K2676" s="465">
        <v>19882.452249999998</v>
      </c>
      <c r="L2676" s="464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Gemini horné vedenie 6m oliva</v>
      </c>
      <c r="C2677" s="185">
        <f t="shared" si="83"/>
        <v>62.454239999999999</v>
      </c>
      <c r="D2677" s="409" t="s">
        <v>2844</v>
      </c>
      <c r="E2677" s="409" t="s">
        <v>5012</v>
      </c>
      <c r="F2677" s="409" t="s">
        <v>1247</v>
      </c>
      <c r="G2677" s="409" t="s">
        <v>5013</v>
      </c>
      <c r="H2677" s="465">
        <v>1736.99515</v>
      </c>
      <c r="I2677" s="465">
        <v>62.454239999999999</v>
      </c>
      <c r="J2677" s="465">
        <v>214.76429999999999</v>
      </c>
      <c r="K2677" s="465">
        <v>24891.958839999999</v>
      </c>
      <c r="L2677" s="464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horné vedenie 6m zlatá</v>
      </c>
      <c r="C2678" s="185">
        <f t="shared" si="83"/>
        <v>62.454239999999999</v>
      </c>
      <c r="D2678" s="409" t="s">
        <v>2845</v>
      </c>
      <c r="E2678" s="409" t="s">
        <v>4992</v>
      </c>
      <c r="F2678" s="409" t="s">
        <v>4993</v>
      </c>
      <c r="G2678" s="409" t="s">
        <v>4994</v>
      </c>
      <c r="H2678" s="465">
        <v>1736.99515</v>
      </c>
      <c r="I2678" s="465">
        <v>62.454239999999999</v>
      </c>
      <c r="J2678" s="465">
        <v>214.76429999999999</v>
      </c>
      <c r="K2678" s="465">
        <v>24891.958839999999</v>
      </c>
      <c r="L2678" s="464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Cleft spodné vedenie 6m strieborná</v>
      </c>
      <c r="C2679" s="185">
        <f t="shared" si="83"/>
        <v>0</v>
      </c>
      <c r="D2679" s="409" t="s">
        <v>2846</v>
      </c>
      <c r="E2679" s="409" t="s">
        <v>5111</v>
      </c>
      <c r="F2679" s="409" t="s">
        <v>1061</v>
      </c>
      <c r="G2679" s="409" t="s">
        <v>5112</v>
      </c>
      <c r="H2679" s="465">
        <v>0</v>
      </c>
      <c r="I2679" s="465">
        <v>0</v>
      </c>
      <c r="J2679" s="465">
        <v>0</v>
      </c>
      <c r="K2679" s="465">
        <v>0</v>
      </c>
      <c r="L2679" s="464" t="s">
        <v>540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maska Cleft 6m strieborná</v>
      </c>
      <c r="C2680" s="185">
        <f t="shared" si="83"/>
        <v>3.8414600000000001</v>
      </c>
      <c r="D2680" s="409" t="s">
        <v>2847</v>
      </c>
      <c r="E2680" s="409" t="s">
        <v>5424</v>
      </c>
      <c r="F2680" s="409" t="s">
        <v>5425</v>
      </c>
      <c r="G2680" s="409" t="s">
        <v>5426</v>
      </c>
      <c r="H2680" s="465">
        <v>87.75609</v>
      </c>
      <c r="I2680" s="465">
        <v>3.8414600000000001</v>
      </c>
      <c r="J2680" s="465">
        <v>17.19848</v>
      </c>
      <c r="K2680" s="465">
        <v>1464.5577000000001</v>
      </c>
      <c r="L2680" s="464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18 II úchytová lišta 2,7m strieborná</v>
      </c>
      <c r="C2681" s="185">
        <f t="shared" si="83"/>
        <v>10.409039999999999</v>
      </c>
      <c r="D2681" s="409" t="s">
        <v>2848</v>
      </c>
      <c r="E2681" s="409" t="s">
        <v>4002</v>
      </c>
      <c r="F2681" s="409" t="s">
        <v>4003</v>
      </c>
      <c r="G2681" s="409" t="s">
        <v>4004</v>
      </c>
      <c r="H2681" s="465">
        <v>289.49919</v>
      </c>
      <c r="I2681" s="465">
        <v>10.409039999999999</v>
      </c>
      <c r="J2681" s="465">
        <v>45.462009999999999</v>
      </c>
      <c r="K2681" s="465">
        <v>4148.6598199999999</v>
      </c>
      <c r="L2681" s="464" t="s">
        <v>695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SPOJOVACIA LIŠTA H04/18 3M STRIEBN</v>
      </c>
      <c r="C2682" s="185">
        <f t="shared" si="83"/>
        <v>8.5354100000000006</v>
      </c>
      <c r="D2682" s="409" t="s">
        <v>3993</v>
      </c>
      <c r="E2682" s="409" t="s">
        <v>3994</v>
      </c>
      <c r="F2682" s="409" t="s">
        <v>3995</v>
      </c>
      <c r="G2682" s="409" t="s">
        <v>3996</v>
      </c>
      <c r="H2682" s="465">
        <v>237.38934</v>
      </c>
      <c r="I2682" s="465">
        <v>8.5354100000000006</v>
      </c>
      <c r="J2682" s="465">
        <v>29.712599999999998</v>
      </c>
      <c r="K2682" s="465">
        <v>3401.9011099999998</v>
      </c>
      <c r="L2682" s="464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spojovacia lišta H08/18 3m oliva</v>
      </c>
      <c r="C2683" s="185">
        <f t="shared" si="83"/>
        <v>10.77336</v>
      </c>
      <c r="D2683" s="409" t="s">
        <v>2849</v>
      </c>
      <c r="E2683" s="409" t="s">
        <v>3976</v>
      </c>
      <c r="F2683" s="409" t="s">
        <v>3977</v>
      </c>
      <c r="G2683" s="409" t="s">
        <v>3978</v>
      </c>
      <c r="H2683" s="465">
        <v>299.63164999999998</v>
      </c>
      <c r="I2683" s="465">
        <v>10.77336</v>
      </c>
      <c r="J2683" s="465">
        <v>37.046849999999999</v>
      </c>
      <c r="K2683" s="465">
        <v>4293.8627500000002</v>
      </c>
      <c r="L2683" s="464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spojovacia lišta H08/18 3m strieborn</v>
      </c>
      <c r="C2684" s="185">
        <f t="shared" si="83"/>
        <v>8.8216599999999996</v>
      </c>
      <c r="D2684" s="409" t="s">
        <v>2850</v>
      </c>
      <c r="E2684" s="409" t="s">
        <v>3997</v>
      </c>
      <c r="F2684" s="409" t="s">
        <v>1208</v>
      </c>
      <c r="G2684" s="409" t="s">
        <v>3998</v>
      </c>
      <c r="H2684" s="465">
        <v>245.35057</v>
      </c>
      <c r="I2684" s="465">
        <v>8.8216599999999996</v>
      </c>
      <c r="J2684" s="465">
        <v>39.694769999999998</v>
      </c>
      <c r="K2684" s="465">
        <v>3515.9892300000001</v>
      </c>
      <c r="L2684" s="464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okrasná lišta S20 3m oliva</v>
      </c>
      <c r="C2685" s="185">
        <f t="shared" si="83"/>
        <v>7.6246200000000002</v>
      </c>
      <c r="D2685" s="409" t="s">
        <v>2851</v>
      </c>
      <c r="E2685" s="409" t="s">
        <v>3875</v>
      </c>
      <c r="F2685" s="409" t="s">
        <v>1218</v>
      </c>
      <c r="G2685" s="409" t="s">
        <v>3876</v>
      </c>
      <c r="H2685" s="465">
        <v>212.05815000000001</v>
      </c>
      <c r="I2685" s="465">
        <v>7.6246200000000002</v>
      </c>
      <c r="J2685" s="465">
        <v>26.219149999999999</v>
      </c>
      <c r="K2685" s="465">
        <v>3038.8931899999998</v>
      </c>
      <c r="L2685" s="464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okrasná lišta S10 3m strieborná</v>
      </c>
      <c r="C2686" s="185">
        <f t="shared" si="83"/>
        <v>3.40896</v>
      </c>
      <c r="D2686" s="409" t="s">
        <v>2852</v>
      </c>
      <c r="E2686" s="409" t="s">
        <v>3621</v>
      </c>
      <c r="F2686" s="409" t="s">
        <v>1219</v>
      </c>
      <c r="G2686" s="409" t="s">
        <v>3622</v>
      </c>
      <c r="H2686" s="465">
        <v>94.810980000000001</v>
      </c>
      <c r="I2686" s="465">
        <v>3.40896</v>
      </c>
      <c r="J2686" s="465">
        <v>12.0054</v>
      </c>
      <c r="K2686" s="465">
        <v>1358.68604</v>
      </c>
      <c r="L2686" s="464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okrasná lišta S10 3m oliva</v>
      </c>
      <c r="C2687" s="185">
        <f t="shared" si="83"/>
        <v>4.2677100000000001</v>
      </c>
      <c r="D2687" s="409" t="s">
        <v>2853</v>
      </c>
      <c r="E2687" s="409" t="s">
        <v>3662</v>
      </c>
      <c r="F2687" s="409" t="s">
        <v>1220</v>
      </c>
      <c r="G2687" s="409" t="s">
        <v>3663</v>
      </c>
      <c r="H2687" s="465">
        <v>118.69466</v>
      </c>
      <c r="I2687" s="465">
        <v>4.2677100000000001</v>
      </c>
      <c r="J2687" s="465">
        <v>14.675560000000001</v>
      </c>
      <c r="K2687" s="465">
        <v>1700.95036</v>
      </c>
      <c r="L2687" s="464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tesnenie na sklo 10/4,5mm</v>
      </c>
      <c r="C2688" s="185">
        <f t="shared" si="83"/>
        <v>0.80669999999999997</v>
      </c>
      <c r="D2688" s="409" t="s">
        <v>2854</v>
      </c>
      <c r="E2688" s="409" t="s">
        <v>5600</v>
      </c>
      <c r="F2688" s="409" t="s">
        <v>5601</v>
      </c>
      <c r="G2688" s="409" t="s">
        <v>5602</v>
      </c>
      <c r="H2688" s="465">
        <v>23.80818</v>
      </c>
      <c r="I2688" s="465">
        <v>0.80669999999999997</v>
      </c>
      <c r="J2688" s="465">
        <v>2.7501000000000002</v>
      </c>
      <c r="K2688" s="465">
        <v>330.63301999999999</v>
      </c>
      <c r="L2688" s="464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Julia II úch.lišta 2,7m oliva</v>
      </c>
      <c r="C2689" s="185">
        <f t="shared" si="83"/>
        <v>21.780919999999998</v>
      </c>
      <c r="D2689" s="409" t="s">
        <v>2855</v>
      </c>
      <c r="E2689" s="409" t="s">
        <v>4483</v>
      </c>
      <c r="F2689" s="409" t="s">
        <v>1236</v>
      </c>
      <c r="G2689" s="409" t="s">
        <v>4484</v>
      </c>
      <c r="H2689" s="465">
        <v>605.77706999999998</v>
      </c>
      <c r="I2689" s="465">
        <v>21.780919999999998</v>
      </c>
      <c r="J2689" s="465">
        <v>74.899050000000003</v>
      </c>
      <c r="K2689" s="465">
        <v>8681.0707700000003</v>
      </c>
      <c r="L2689" s="464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Julia II úch.lišta 2,7m strieborná</v>
      </c>
      <c r="C2690" s="185">
        <f t="shared" si="83"/>
        <v>17.435140000000001</v>
      </c>
      <c r="D2690" s="409" t="s">
        <v>2856</v>
      </c>
      <c r="E2690" s="409" t="s">
        <v>4428</v>
      </c>
      <c r="F2690" s="409" t="s">
        <v>1235</v>
      </c>
      <c r="G2690" s="409" t="s">
        <v>4429</v>
      </c>
      <c r="H2690" s="465">
        <v>484.91115000000002</v>
      </c>
      <c r="I2690" s="465">
        <v>17.435140000000001</v>
      </c>
      <c r="J2690" s="465">
        <v>65.637</v>
      </c>
      <c r="K2690" s="465">
        <v>6949.0051800000001</v>
      </c>
      <c r="L2690" s="464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str">
        <f t="shared" si="82"/>
        <v>SEVROLL Julia II úch.lišta 2,7m zlatá</v>
      </c>
      <c r="C2691" s="185" t="e">
        <f t="shared" si="83"/>
        <v>#N/A</v>
      </c>
      <c r="D2691" s="409" t="s">
        <v>2857</v>
      </c>
      <c r="E2691" s="409" t="s">
        <v>4459</v>
      </c>
      <c r="F2691" s="409" t="s">
        <v>1145</v>
      </c>
      <c r="G2691" s="409" t="s">
        <v>4460</v>
      </c>
      <c r="H2691" s="465" t="e">
        <v>#N/A</v>
      </c>
      <c r="I2691" s="465" t="e">
        <v>#N/A</v>
      </c>
      <c r="J2691" s="465" t="e">
        <v>#N/A</v>
      </c>
      <c r="K2691" s="465" t="e">
        <v>#N/A</v>
      </c>
      <c r="L2691" s="464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Romeo II úch.lišta 2,7m oliva</v>
      </c>
      <c r="C2692" s="185">
        <f t="shared" ref="C2692:C2755" si="85">IF($A$2=1,H2692,IF($A$2=2,I2692,IF($A$2=3,J2692,IF($A$2=4,K2692,IF($A$2&gt;4,O2692,"zadat jazyk")))))</f>
        <v>22.301369999999999</v>
      </c>
      <c r="D2692" s="409" t="s">
        <v>2858</v>
      </c>
      <c r="E2692" s="409" t="s">
        <v>4485</v>
      </c>
      <c r="F2692" s="409" t="s">
        <v>1211</v>
      </c>
      <c r="G2692" s="409" t="s">
        <v>4486</v>
      </c>
      <c r="H2692" s="465">
        <v>620.25202999999999</v>
      </c>
      <c r="I2692" s="465">
        <v>22.301369999999999</v>
      </c>
      <c r="J2692" s="465">
        <v>76.688749999999999</v>
      </c>
      <c r="K2692" s="465">
        <v>8888.5037599999996</v>
      </c>
      <c r="L2692" s="464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ROMEO II ÚCH.LIŠTA 2,7 M STR.</v>
      </c>
      <c r="C2693" s="185">
        <f t="shared" si="85"/>
        <v>17.435140000000001</v>
      </c>
      <c r="D2693" s="409" t="s">
        <v>2859</v>
      </c>
      <c r="E2693" s="409" t="s">
        <v>4430</v>
      </c>
      <c r="F2693" s="409" t="s">
        <v>2178</v>
      </c>
      <c r="G2693" s="409" t="s">
        <v>4431</v>
      </c>
      <c r="H2693" s="465">
        <v>484.91115000000002</v>
      </c>
      <c r="I2693" s="465">
        <v>17.435140000000001</v>
      </c>
      <c r="J2693" s="465">
        <v>65.637</v>
      </c>
      <c r="K2693" s="465">
        <v>6949.0051800000001</v>
      </c>
      <c r="L2693" s="464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str">
        <f t="shared" si="84"/>
        <v>SEVROLL Romeo II úchytová lišta 2,7m zlatá</v>
      </c>
      <c r="C2694" s="185" t="e">
        <f t="shared" si="85"/>
        <v>#N/A</v>
      </c>
      <c r="D2694" s="409" t="s">
        <v>2860</v>
      </c>
      <c r="E2694" s="409" t="s">
        <v>4461</v>
      </c>
      <c r="F2694" s="409" t="s">
        <v>1104</v>
      </c>
      <c r="G2694" s="409" t="s">
        <v>4462</v>
      </c>
      <c r="H2694" s="465" t="e">
        <v>#N/A</v>
      </c>
      <c r="I2694" s="465" t="e">
        <v>#N/A</v>
      </c>
      <c r="J2694" s="465" t="e">
        <v>#N/A</v>
      </c>
      <c r="K2694" s="465" t="e">
        <v>#N/A</v>
      </c>
      <c r="L2694" s="464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04548 Factor 18 II úchytová lišta 2,7m oliva</v>
      </c>
      <c r="C2695" s="185">
        <f t="shared" si="85"/>
        <v>12.646979999999999</v>
      </c>
      <c r="D2695" s="409" t="s">
        <v>2861</v>
      </c>
      <c r="E2695" s="409" t="s">
        <v>4095</v>
      </c>
      <c r="F2695" s="409" t="s">
        <v>2861</v>
      </c>
      <c r="G2695" s="409" t="s">
        <v>4096</v>
      </c>
      <c r="H2695" s="465">
        <v>351.74153000000001</v>
      </c>
      <c r="I2695" s="465">
        <v>12.646979999999999</v>
      </c>
      <c r="J2695" s="465">
        <v>43.48977</v>
      </c>
      <c r="K2695" s="465">
        <v>5040.6218200000003</v>
      </c>
      <c r="L2695" s="464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str">
        <f t="shared" si="84"/>
        <v>SEVROLL Factor 18 II-úchytová lišta zlatá 2,</v>
      </c>
      <c r="C2696" s="185" t="e">
        <f t="shared" si="85"/>
        <v>#N/A</v>
      </c>
      <c r="D2696" s="409" t="s">
        <v>2862</v>
      </c>
      <c r="E2696" s="409" t="s">
        <v>4068</v>
      </c>
      <c r="F2696" s="409" t="s">
        <v>1060</v>
      </c>
      <c r="G2696" s="409" t="s">
        <v>4069</v>
      </c>
      <c r="H2696" s="465" t="e">
        <v>#N/A</v>
      </c>
      <c r="I2696" s="465" t="e">
        <v>#N/A</v>
      </c>
      <c r="J2696" s="465" t="e">
        <v>#N/A</v>
      </c>
      <c r="K2696" s="465" t="e">
        <v>#N/A</v>
      </c>
      <c r="L2696" s="464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16 II úchytová lišta 2,7m oliva</v>
      </c>
      <c r="C2697" s="185">
        <f t="shared" si="85"/>
        <v>12.777100000000001</v>
      </c>
      <c r="D2697" s="409" t="s">
        <v>2863</v>
      </c>
      <c r="E2697" s="409" t="s">
        <v>4066</v>
      </c>
      <c r="F2697" s="409" t="s">
        <v>2863</v>
      </c>
      <c r="G2697" s="409" t="s">
        <v>4067</v>
      </c>
      <c r="H2697" s="465">
        <v>355.36025999999998</v>
      </c>
      <c r="I2697" s="465">
        <v>12.777100000000001</v>
      </c>
      <c r="J2697" s="465">
        <v>79.866</v>
      </c>
      <c r="K2697" s="465">
        <v>5092.4798700000001</v>
      </c>
      <c r="L2697" s="464" t="s">
        <v>539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16 II úchytová lišta 2,7m strieborná</v>
      </c>
      <c r="C2698" s="185">
        <f t="shared" si="85"/>
        <v>10.22688</v>
      </c>
      <c r="D2698" s="409" t="s">
        <v>2864</v>
      </c>
      <c r="E2698" s="409" t="s">
        <v>3963</v>
      </c>
      <c r="F2698" s="409" t="s">
        <v>3964</v>
      </c>
      <c r="G2698" s="409" t="s">
        <v>3965</v>
      </c>
      <c r="H2698" s="465">
        <v>284.43295000000001</v>
      </c>
      <c r="I2698" s="465">
        <v>10.22688</v>
      </c>
      <c r="J2698" s="465">
        <v>72.593400000000003</v>
      </c>
      <c r="K2698" s="465">
        <v>4076.0581499999998</v>
      </c>
      <c r="L2698" s="464" t="s">
        <v>539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úchytová lišta 18mm 2,7m strieborná</v>
      </c>
      <c r="C2699" s="185">
        <f t="shared" si="85"/>
        <v>16.498329999999999</v>
      </c>
      <c r="D2699" s="409" t="s">
        <v>2865</v>
      </c>
      <c r="E2699" s="409" t="s">
        <v>4417</v>
      </c>
      <c r="F2699" s="409" t="s">
        <v>4418</v>
      </c>
      <c r="G2699" s="409" t="s">
        <v>4419</v>
      </c>
      <c r="H2699" s="465">
        <v>458.85620999999998</v>
      </c>
      <c r="I2699" s="465">
        <v>16.498329999999999</v>
      </c>
      <c r="J2699" s="465">
        <v>58.884599999999999</v>
      </c>
      <c r="K2699" s="465">
        <v>6575.6256299999995</v>
      </c>
      <c r="L2699" s="464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úchytová lišta 18mm 2,7m oliva</v>
      </c>
      <c r="C2700" s="185">
        <f t="shared" si="85"/>
        <v>20.635919999999999</v>
      </c>
      <c r="D2700" s="409" t="s">
        <v>2866</v>
      </c>
      <c r="E2700" s="409" t="s">
        <v>4479</v>
      </c>
      <c r="F2700" s="409" t="s">
        <v>2866</v>
      </c>
      <c r="G2700" s="409" t="s">
        <v>4480</v>
      </c>
      <c r="H2700" s="465">
        <v>573.93214</v>
      </c>
      <c r="I2700" s="465">
        <v>20.635919999999999</v>
      </c>
      <c r="J2700" s="465">
        <v>70.961690000000004</v>
      </c>
      <c r="K2700" s="465">
        <v>8224.7179400000005</v>
      </c>
      <c r="L2700" s="464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str">
        <f t="shared" si="84"/>
        <v>SEVROLL Viktoria II úch.list.18mm 2,7m zlatá</v>
      </c>
      <c r="C2701" s="185" t="e">
        <f t="shared" si="85"/>
        <v>#N/A</v>
      </c>
      <c r="D2701" s="409" t="s">
        <v>2867</v>
      </c>
      <c r="E2701" s="409" t="s">
        <v>4451</v>
      </c>
      <c r="F2701" s="409" t="s">
        <v>1044</v>
      </c>
      <c r="G2701" s="409" t="s">
        <v>4452</v>
      </c>
      <c r="H2701" s="465" t="e">
        <v>#N/A</v>
      </c>
      <c r="I2701" s="465" t="e">
        <v>#N/A</v>
      </c>
      <c r="J2701" s="465" t="e">
        <v>#N/A</v>
      </c>
      <c r="K2701" s="465" t="e">
        <v>#N/A</v>
      </c>
      <c r="L2701" s="464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Minicomfort II úch.lišta 2,7m str.</v>
      </c>
      <c r="C2702" s="185">
        <f t="shared" si="85"/>
        <v>16.550370000000001</v>
      </c>
      <c r="D2702" s="409" t="s">
        <v>2868</v>
      </c>
      <c r="E2702" s="409" t="s">
        <v>4381</v>
      </c>
      <c r="F2702" s="409" t="s">
        <v>1223</v>
      </c>
      <c r="G2702" s="409" t="s">
        <v>4382</v>
      </c>
      <c r="H2702" s="465">
        <v>460.30372999999997</v>
      </c>
      <c r="I2702" s="465">
        <v>16.550370000000001</v>
      </c>
      <c r="J2702" s="465">
        <v>64.535399999999996</v>
      </c>
      <c r="K2702" s="465">
        <v>6596.3692499999997</v>
      </c>
      <c r="L2702" s="464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úchytová lišta 2,7m oliva</v>
      </c>
      <c r="C2703" s="185">
        <f t="shared" si="85"/>
        <v>19.855239999999998</v>
      </c>
      <c r="D2703" s="409" t="s">
        <v>2869</v>
      </c>
      <c r="E2703" s="409" t="s">
        <v>4426</v>
      </c>
      <c r="F2703" s="409" t="s">
        <v>2869</v>
      </c>
      <c r="G2703" s="409" t="s">
        <v>4427</v>
      </c>
      <c r="H2703" s="465">
        <v>552.21969999999999</v>
      </c>
      <c r="I2703" s="465">
        <v>19.855239999999998</v>
      </c>
      <c r="J2703" s="465">
        <v>71.002200000000002</v>
      </c>
      <c r="K2703" s="465">
        <v>7913.5684600000004</v>
      </c>
      <c r="L2703" s="464" t="s">
        <v>539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Comfort 18 II úch.lišta 2,7m str,</v>
      </c>
      <c r="C2704" s="185">
        <f t="shared" si="85"/>
        <v>23.75863</v>
      </c>
      <c r="D2704" s="409" t="s">
        <v>2870</v>
      </c>
      <c r="E2704" s="409" t="s">
        <v>4626</v>
      </c>
      <c r="F2704" s="409" t="s">
        <v>1261</v>
      </c>
      <c r="G2704" s="409" t="s">
        <v>4627</v>
      </c>
      <c r="H2704" s="465">
        <v>660.78189999999995</v>
      </c>
      <c r="I2704" s="465">
        <v>23.75863</v>
      </c>
      <c r="J2704" s="465">
        <v>92.779200000000003</v>
      </c>
      <c r="K2704" s="465">
        <v>9469.3158899999999</v>
      </c>
      <c r="L2704" s="464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úchytová lišta 2,7m oliva</v>
      </c>
      <c r="C2705" s="185">
        <f t="shared" si="85"/>
        <v>30.446439999999999</v>
      </c>
      <c r="D2705" s="409" t="s">
        <v>2871</v>
      </c>
      <c r="E2705" s="409" t="s">
        <v>4674</v>
      </c>
      <c r="F2705" s="409" t="s">
        <v>2871</v>
      </c>
      <c r="G2705" s="409" t="s">
        <v>4675</v>
      </c>
      <c r="H2705" s="465">
        <v>846.78513999999996</v>
      </c>
      <c r="I2705" s="465">
        <v>30.446439999999999</v>
      </c>
      <c r="J2705" s="465">
        <v>104.69759999999999</v>
      </c>
      <c r="K2705" s="465">
        <v>12134.82993</v>
      </c>
      <c r="L2705" s="464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Unicomfort II úch.lišta 2,7m str.</v>
      </c>
      <c r="C2706" s="185">
        <f t="shared" si="85"/>
        <v>26.438960000000002</v>
      </c>
      <c r="D2706" s="409" t="s">
        <v>2872</v>
      </c>
      <c r="E2706" s="409" t="s">
        <v>4685</v>
      </c>
      <c r="F2706" s="409" t="s">
        <v>1194</v>
      </c>
      <c r="G2706" s="409" t="s">
        <v>4686</v>
      </c>
      <c r="H2706" s="465">
        <v>735.32795999999996</v>
      </c>
      <c r="I2706" s="465">
        <v>26.438960000000002</v>
      </c>
      <c r="J2706" s="465">
        <v>90.916880000000006</v>
      </c>
      <c r="K2706" s="465">
        <v>10537.596079999999</v>
      </c>
      <c r="L2706" s="464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úchytová lišta 2,7m oliva</v>
      </c>
      <c r="C2707" s="185">
        <f t="shared" si="85"/>
        <v>30.60258</v>
      </c>
      <c r="D2707" s="409" t="s">
        <v>2873</v>
      </c>
      <c r="E2707" s="409" t="s">
        <v>4704</v>
      </c>
      <c r="F2707" s="409" t="s">
        <v>2873</v>
      </c>
      <c r="G2707" s="409" t="s">
        <v>4705</v>
      </c>
      <c r="H2707" s="465">
        <v>851.12764000000004</v>
      </c>
      <c r="I2707" s="465">
        <v>30.60258</v>
      </c>
      <c r="J2707" s="465">
        <v>105.2345</v>
      </c>
      <c r="K2707" s="465">
        <v>12197.06</v>
      </c>
      <c r="L2707" s="464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úchytová lišta 2,7m oliva</v>
      </c>
      <c r="C2708" s="185">
        <f t="shared" si="85"/>
        <v>16.13401</v>
      </c>
      <c r="D2708" s="409" t="s">
        <v>2874</v>
      </c>
      <c r="E2708" s="409" t="s">
        <v>5229</v>
      </c>
      <c r="F2708" s="409" t="s">
        <v>2874</v>
      </c>
      <c r="G2708" s="409" t="s">
        <v>5230</v>
      </c>
      <c r="H2708" s="465">
        <v>448.72375</v>
      </c>
      <c r="I2708" s="465">
        <v>16.13401</v>
      </c>
      <c r="J2708" s="465">
        <v>55.480780000000003</v>
      </c>
      <c r="K2708" s="465">
        <v>6430.4227000000001</v>
      </c>
      <c r="L2708" s="464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úchytová lišta 2,7m strieborná</v>
      </c>
      <c r="C2709" s="185">
        <f t="shared" si="85"/>
        <v>23.75863</v>
      </c>
      <c r="D2709" s="409" t="s">
        <v>2875</v>
      </c>
      <c r="E2709" s="409" t="s">
        <v>4582</v>
      </c>
      <c r="F2709" s="409" t="s">
        <v>4583</v>
      </c>
      <c r="G2709" s="409" t="s">
        <v>4584</v>
      </c>
      <c r="H2709" s="465">
        <v>660.78189999999995</v>
      </c>
      <c r="I2709" s="465">
        <v>23.75863</v>
      </c>
      <c r="J2709" s="465">
        <v>92.779200000000003</v>
      </c>
      <c r="K2709" s="465">
        <v>9469.3158899999999</v>
      </c>
      <c r="L2709" s="464" t="s">
        <v>539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úchytová lišta 2,7m oliva</v>
      </c>
      <c r="C2710" s="185">
        <f t="shared" si="85"/>
        <v>30.446439999999999</v>
      </c>
      <c r="D2710" s="409" t="s">
        <v>2876</v>
      </c>
      <c r="E2710" s="409" t="s">
        <v>4672</v>
      </c>
      <c r="F2710" s="409" t="s">
        <v>2876</v>
      </c>
      <c r="G2710" s="409" t="s">
        <v>4673</v>
      </c>
      <c r="H2710" s="465">
        <v>846.78513999999996</v>
      </c>
      <c r="I2710" s="465">
        <v>30.446439999999999</v>
      </c>
      <c r="J2710" s="465">
        <v>104.69759999999999</v>
      </c>
      <c r="K2710" s="465">
        <v>12134.82993</v>
      </c>
      <c r="L2710" s="464" t="s">
        <v>539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ERGO 18 UCH.LIŠTA.2,70m STR.</v>
      </c>
      <c r="C2711" s="185">
        <f t="shared" si="85"/>
        <v>7.8588300000000002</v>
      </c>
      <c r="D2711" s="409" t="s">
        <v>2877</v>
      </c>
      <c r="E2711" s="409" t="s">
        <v>3901</v>
      </c>
      <c r="F2711" s="409" t="s">
        <v>3902</v>
      </c>
      <c r="G2711" s="409" t="s">
        <v>3903</v>
      </c>
      <c r="H2711" s="465">
        <v>215.76692</v>
      </c>
      <c r="I2711" s="465">
        <v>7.8588300000000002</v>
      </c>
      <c r="J2711" s="465">
        <v>33.579320000000003</v>
      </c>
      <c r="K2711" s="465">
        <v>2995.4153099999999</v>
      </c>
      <c r="L2711" s="464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ERGO UCH.LIŠTA.2,70m OLIVOVÁ</v>
      </c>
      <c r="C2712" s="185">
        <f t="shared" si="85"/>
        <v>10.487109999999999</v>
      </c>
      <c r="D2712" s="409" t="s">
        <v>2878</v>
      </c>
      <c r="E2712" s="409" t="s">
        <v>3990</v>
      </c>
      <c r="F2712" s="409" t="s">
        <v>3991</v>
      </c>
      <c r="G2712" s="409" t="s">
        <v>3992</v>
      </c>
      <c r="H2712" s="465">
        <v>287.92738000000003</v>
      </c>
      <c r="I2712" s="465">
        <v>10.487109999999999</v>
      </c>
      <c r="J2712" s="465">
        <v>41.357080000000003</v>
      </c>
      <c r="K2712" s="465">
        <v>3997.1932900000002</v>
      </c>
      <c r="L2712" s="464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profil "U" pre lamino 36mm strieborná 3m</v>
      </c>
      <c r="C2713" s="185">
        <f t="shared" si="85"/>
        <v>13.50573</v>
      </c>
      <c r="D2713" s="409" t="s">
        <v>2879</v>
      </c>
      <c r="E2713" s="409" t="s">
        <v>4325</v>
      </c>
      <c r="F2713" s="409" t="s">
        <v>4326</v>
      </c>
      <c r="G2713" s="409" t="s">
        <v>4327</v>
      </c>
      <c r="H2713" s="465">
        <v>375.62520000000001</v>
      </c>
      <c r="I2713" s="465">
        <v>13.50573</v>
      </c>
      <c r="J2713" s="465">
        <v>47.144399999999997</v>
      </c>
      <c r="K2713" s="465">
        <v>5382.8861399999996</v>
      </c>
      <c r="L2713" s="464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str">
        <f t="shared" si="84"/>
        <v>ASTIN horné vedenie 3,6m kartáč.ČIERNA</v>
      </c>
      <c r="C2714" s="185" t="e">
        <f t="shared" si="85"/>
        <v>#N/A</v>
      </c>
      <c r="D2714" s="409" t="s">
        <v>1066</v>
      </c>
      <c r="E2714" s="409" t="s">
        <v>5051</v>
      </c>
      <c r="F2714" s="409" t="s">
        <v>1067</v>
      </c>
      <c r="G2714" s="409" t="s">
        <v>5052</v>
      </c>
      <c r="H2714" s="465" t="e">
        <v>#N/A</v>
      </c>
      <c r="I2714" s="465" t="e">
        <v>#N/A</v>
      </c>
      <c r="J2714" s="465" t="e">
        <v>#N/A</v>
      </c>
      <c r="K2714" s="465" t="e">
        <v>#N/A</v>
      </c>
      <c r="L2714" s="464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str">
        <f t="shared" si="84"/>
        <v>SEVROLL 214-380 Herkules plus horné vedenie 1,2m</v>
      </c>
      <c r="C2715" s="185" t="e">
        <f t="shared" si="85"/>
        <v>#N/A</v>
      </c>
      <c r="D2715" s="409" t="s">
        <v>1477</v>
      </c>
      <c r="E2715" s="409" t="s">
        <v>1907</v>
      </c>
      <c r="F2715" s="409" t="s">
        <v>5979</v>
      </c>
      <c r="G2715" s="409" t="s">
        <v>2434</v>
      </c>
      <c r="H2715" s="465" t="e">
        <v>#N/A</v>
      </c>
      <c r="I2715" s="465" t="e">
        <v>#N/A</v>
      </c>
      <c r="J2715" s="465" t="e">
        <v>#N/A</v>
      </c>
      <c r="K2715" s="465" t="e">
        <v>#N/A</v>
      </c>
      <c r="L2715" s="464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str">
        <f t="shared" si="84"/>
        <v>SEVROLL 215-093 vozík HP40 Herkules plus</v>
      </c>
      <c r="C2716" s="185" t="e">
        <f t="shared" si="85"/>
        <v>#N/A</v>
      </c>
      <c r="D2716" s="409" t="s">
        <v>1478</v>
      </c>
      <c r="E2716" s="409" t="s">
        <v>1908</v>
      </c>
      <c r="F2716" s="409" t="s">
        <v>1478</v>
      </c>
      <c r="G2716" s="409" t="s">
        <v>2435</v>
      </c>
      <c r="H2716" s="465" t="e">
        <v>#N/A</v>
      </c>
      <c r="I2716" s="465" t="e">
        <v>#N/A</v>
      </c>
      <c r="J2716" s="465" t="e">
        <v>#N/A</v>
      </c>
      <c r="K2716" s="465" t="e">
        <v>#N/A</v>
      </c>
      <c r="L2716" s="464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Záves dverí 25kg</v>
      </c>
      <c r="C2717" s="185">
        <f t="shared" si="85"/>
        <v>2.70635</v>
      </c>
      <c r="D2717" s="409" t="s">
        <v>1479</v>
      </c>
      <c r="E2717" s="409" t="s">
        <v>1909</v>
      </c>
      <c r="F2717" s="409" t="s">
        <v>5980</v>
      </c>
      <c r="G2717" s="409" t="s">
        <v>2436</v>
      </c>
      <c r="H2717" s="465">
        <v>71.749970000000005</v>
      </c>
      <c r="I2717" s="465">
        <v>2.70635</v>
      </c>
      <c r="J2717" s="465">
        <v>9.2333099999999995</v>
      </c>
      <c r="K2717" s="465">
        <v>1048.08233</v>
      </c>
      <c r="L2717" s="464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spodné vedenie  6m strieborná</v>
      </c>
      <c r="C2718" s="185">
        <f t="shared" si="85"/>
        <v>28.596229999999998</v>
      </c>
      <c r="D2718" s="409" t="s">
        <v>2880</v>
      </c>
      <c r="E2718" s="409" t="s">
        <v>4769</v>
      </c>
      <c r="F2718" s="409" t="s">
        <v>4770</v>
      </c>
      <c r="G2718" s="409" t="s">
        <v>4771</v>
      </c>
      <c r="H2718" s="465">
        <v>795.39903000000004</v>
      </c>
      <c r="I2718" s="465">
        <v>28.596229999999998</v>
      </c>
      <c r="J2718" s="465">
        <v>105.53084</v>
      </c>
      <c r="K2718" s="465">
        <v>11398.442849999999</v>
      </c>
      <c r="L2718" s="464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horné/spodné vedenie 1,8m oliva</v>
      </c>
      <c r="C2719" s="185">
        <f t="shared" si="85"/>
        <v>8.7592099999999995</v>
      </c>
      <c r="D2719" s="409" t="s">
        <v>2881</v>
      </c>
      <c r="E2719" s="409" t="s">
        <v>3849</v>
      </c>
      <c r="F2719" s="409" t="s">
        <v>3850</v>
      </c>
      <c r="G2719" s="409" t="s">
        <v>3851</v>
      </c>
      <c r="H2719" s="465">
        <v>243.90307999999999</v>
      </c>
      <c r="I2719" s="465">
        <v>8.7592099999999995</v>
      </c>
      <c r="J2719" s="465">
        <v>32.609400000000001</v>
      </c>
      <c r="K2719" s="465">
        <v>3495.24602</v>
      </c>
      <c r="L2719" s="464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MASKA DOUBLER II 4,05 M striebor</v>
      </c>
      <c r="C2720" s="185">
        <f t="shared" si="85"/>
        <v>11.13767</v>
      </c>
      <c r="D2720" s="409" t="s">
        <v>2882</v>
      </c>
      <c r="E2720" s="409" t="s">
        <v>4131</v>
      </c>
      <c r="F2720" s="409" t="s">
        <v>4132</v>
      </c>
      <c r="G2720" s="409" t="s">
        <v>4133</v>
      </c>
      <c r="H2720" s="465">
        <v>309.76414</v>
      </c>
      <c r="I2720" s="465">
        <v>11.13767</v>
      </c>
      <c r="J2720" s="465">
        <v>38.943600000000004</v>
      </c>
      <c r="K2720" s="465">
        <v>4439.0660699999999</v>
      </c>
      <c r="L2720" s="464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spodné vedenie 1,7m strieborná</v>
      </c>
      <c r="C2721" s="185">
        <f t="shared" si="85"/>
        <v>14.46857</v>
      </c>
      <c r="D2721" s="409" t="s">
        <v>2883</v>
      </c>
      <c r="E2721" s="409" t="s">
        <v>4322</v>
      </c>
      <c r="F2721" s="409" t="s">
        <v>4323</v>
      </c>
      <c r="G2721" s="409" t="s">
        <v>4324</v>
      </c>
      <c r="H2721" s="465">
        <v>402.40388999999999</v>
      </c>
      <c r="I2721" s="465">
        <v>14.46857</v>
      </c>
      <c r="J2721" s="465">
        <v>53.335799999999999</v>
      </c>
      <c r="K2721" s="465">
        <v>5766.6373000000003</v>
      </c>
      <c r="L2721" s="464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Doubler II spodné vedenie 2,35m str.</v>
      </c>
      <c r="C2722" s="185">
        <f t="shared" si="85"/>
        <v>20.037400000000002</v>
      </c>
      <c r="D2722" s="409" t="s">
        <v>2884</v>
      </c>
      <c r="E2722" s="409" t="s">
        <v>4514</v>
      </c>
      <c r="F2722" s="409" t="s">
        <v>1256</v>
      </c>
      <c r="G2722" s="409" t="s">
        <v>4515</v>
      </c>
      <c r="H2722" s="465">
        <v>557.28593999999998</v>
      </c>
      <c r="I2722" s="465">
        <v>20.037400000000002</v>
      </c>
      <c r="J2722" s="465">
        <v>73.745999999999995</v>
      </c>
      <c r="K2722" s="465">
        <v>7986.1701300000004</v>
      </c>
      <c r="L2722" s="464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Doubler II spodné vedenie 3m str.</v>
      </c>
      <c r="C2723" s="185">
        <f t="shared" si="85"/>
        <v>25.580220000000001</v>
      </c>
      <c r="D2723" s="409" t="s">
        <v>2885</v>
      </c>
      <c r="E2723" s="409" t="s">
        <v>4696</v>
      </c>
      <c r="F2723" s="409" t="s">
        <v>1255</v>
      </c>
      <c r="G2723" s="409" t="s">
        <v>4697</v>
      </c>
      <c r="H2723" s="465">
        <v>711.44425999999999</v>
      </c>
      <c r="I2723" s="465">
        <v>25.580220000000001</v>
      </c>
      <c r="J2723" s="465">
        <v>94.115399999999994</v>
      </c>
      <c r="K2723" s="465">
        <v>10195.33136</v>
      </c>
      <c r="L2723" s="464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spodné vedenie 6m strieborná</v>
      </c>
      <c r="C2724" s="185">
        <f t="shared" si="85"/>
        <v>51.10839</v>
      </c>
      <c r="D2724" s="409" t="s">
        <v>2886</v>
      </c>
      <c r="E2724" s="409" t="s">
        <v>4971</v>
      </c>
      <c r="F2724" s="409" t="s">
        <v>4972</v>
      </c>
      <c r="G2724" s="409" t="s">
        <v>4973</v>
      </c>
      <c r="H2724" s="465">
        <v>1421.44102</v>
      </c>
      <c r="I2724" s="465">
        <v>51.10839</v>
      </c>
      <c r="J2724" s="465">
        <v>188.25120000000001</v>
      </c>
      <c r="K2724" s="465">
        <v>20369.9195</v>
      </c>
      <c r="L2724" s="464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spodné vedenie 1,7m oliva</v>
      </c>
      <c r="C2725" s="185">
        <f t="shared" si="85"/>
        <v>18.085709999999999</v>
      </c>
      <c r="D2725" s="409" t="s">
        <v>2887</v>
      </c>
      <c r="E2725" s="409" t="s">
        <v>4343</v>
      </c>
      <c r="F2725" s="409" t="s">
        <v>4344</v>
      </c>
      <c r="G2725" s="409" t="s">
        <v>4345</v>
      </c>
      <c r="H2725" s="465">
        <v>503.00486000000001</v>
      </c>
      <c r="I2725" s="465">
        <v>18.085709999999999</v>
      </c>
      <c r="J2725" s="465">
        <v>62.192169999999997</v>
      </c>
      <c r="K2725" s="465">
        <v>7208.2966100000003</v>
      </c>
      <c r="L2725" s="464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spodné vedenie 2,35m oliva</v>
      </c>
      <c r="C2726" s="185">
        <f t="shared" si="85"/>
        <v>25.059760000000001</v>
      </c>
      <c r="D2726" s="409" t="s">
        <v>2888</v>
      </c>
      <c r="E2726" s="409" t="s">
        <v>4557</v>
      </c>
      <c r="F2726" s="409" t="s">
        <v>4558</v>
      </c>
      <c r="G2726" s="409" t="s">
        <v>4559</v>
      </c>
      <c r="H2726" s="465">
        <v>696.96929999999998</v>
      </c>
      <c r="I2726" s="465">
        <v>25.059760000000001</v>
      </c>
      <c r="J2726" s="465">
        <v>86.174180000000007</v>
      </c>
      <c r="K2726" s="465">
        <v>9987.8983700000008</v>
      </c>
      <c r="L2726" s="464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spodné vedenie 3m oliva</v>
      </c>
      <c r="C2727" s="185">
        <f t="shared" si="85"/>
        <v>31.981780000000001</v>
      </c>
      <c r="D2727" s="409" t="s">
        <v>2889</v>
      </c>
      <c r="E2727" s="409" t="s">
        <v>4714</v>
      </c>
      <c r="F2727" s="409" t="s">
        <v>4715</v>
      </c>
      <c r="G2727" s="409" t="s">
        <v>4716</v>
      </c>
      <c r="H2727" s="465">
        <v>889.48626999999999</v>
      </c>
      <c r="I2727" s="465">
        <v>31.981780000000001</v>
      </c>
      <c r="J2727" s="465">
        <v>109.97721</v>
      </c>
      <c r="K2727" s="465">
        <v>12746.75729</v>
      </c>
      <c r="L2727" s="464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spodné vedenie 4,05m oliva</v>
      </c>
      <c r="C2728" s="185">
        <f t="shared" si="85"/>
        <v>43.145470000000003</v>
      </c>
      <c r="D2728" s="409" t="s">
        <v>2890</v>
      </c>
      <c r="E2728" s="409" t="s">
        <v>4874</v>
      </c>
      <c r="F2728" s="409" t="s">
        <v>4875</v>
      </c>
      <c r="G2728" s="409" t="s">
        <v>4876</v>
      </c>
      <c r="H2728" s="465">
        <v>1199.97416</v>
      </c>
      <c r="I2728" s="465">
        <v>43.145470000000003</v>
      </c>
      <c r="J2728" s="465">
        <v>148.36633</v>
      </c>
      <c r="K2728" s="465">
        <v>17196.19498</v>
      </c>
      <c r="L2728" s="464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spodné vedenie 6m oliva</v>
      </c>
      <c r="C2729" s="185">
        <f t="shared" si="85"/>
        <v>63.885480000000001</v>
      </c>
      <c r="D2729" s="409" t="s">
        <v>2891</v>
      </c>
      <c r="E2729" s="409" t="s">
        <v>4995</v>
      </c>
      <c r="F2729" s="409" t="s">
        <v>4996</v>
      </c>
      <c r="G2729" s="409" t="s">
        <v>4997</v>
      </c>
      <c r="H2729" s="465">
        <v>1776.8013000000001</v>
      </c>
      <c r="I2729" s="465">
        <v>63.885480000000001</v>
      </c>
      <c r="J2729" s="465">
        <v>219.68598</v>
      </c>
      <c r="K2729" s="465">
        <v>25462.39976</v>
      </c>
      <c r="L2729" s="464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str">
        <f t="shared" si="84"/>
        <v>SEVROLL Doubler II spodné vedenie 4,05m zlat</v>
      </c>
      <c r="C2730" s="185" t="e">
        <f t="shared" si="85"/>
        <v>#N/A</v>
      </c>
      <c r="D2730" s="409" t="s">
        <v>2892</v>
      </c>
      <c r="E2730" s="409" t="s">
        <v>4877</v>
      </c>
      <c r="F2730" s="409" t="s">
        <v>1179</v>
      </c>
      <c r="G2730" s="409" t="s">
        <v>4878</v>
      </c>
      <c r="H2730" s="465" t="e">
        <v>#N/A</v>
      </c>
      <c r="I2730" s="465" t="e">
        <v>#N/A</v>
      </c>
      <c r="J2730" s="465" t="e">
        <v>#N/A</v>
      </c>
      <c r="K2730" s="465" t="e">
        <v>#N/A</v>
      </c>
      <c r="L2730" s="464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maska 1,7m strieborná</v>
      </c>
      <c r="C2731" s="185">
        <f t="shared" si="85"/>
        <v>4.7100900000000001</v>
      </c>
      <c r="D2731" s="409" t="s">
        <v>2893</v>
      </c>
      <c r="E2731" s="409" t="s">
        <v>3718</v>
      </c>
      <c r="F2731" s="409" t="s">
        <v>3719</v>
      </c>
      <c r="G2731" s="409" t="s">
        <v>3720</v>
      </c>
      <c r="H2731" s="465">
        <v>130.99838</v>
      </c>
      <c r="I2731" s="465">
        <v>4.7100900000000001</v>
      </c>
      <c r="J2731" s="465">
        <v>16.360800000000001</v>
      </c>
      <c r="K2731" s="465">
        <v>1877.2685200000001</v>
      </c>
      <c r="L2731" s="464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Doubler II maska 2,35m stieborná</v>
      </c>
      <c r="C2732" s="185">
        <f t="shared" si="85"/>
        <v>6.4796300000000002</v>
      </c>
      <c r="D2732" s="409" t="s">
        <v>2894</v>
      </c>
      <c r="E2732" s="409" t="s">
        <v>3842</v>
      </c>
      <c r="F2732" s="409" t="s">
        <v>1257</v>
      </c>
      <c r="G2732" s="409" t="s">
        <v>3843</v>
      </c>
      <c r="H2732" s="465">
        <v>180.21324999999999</v>
      </c>
      <c r="I2732" s="465">
        <v>6.4796300000000002</v>
      </c>
      <c r="J2732" s="465">
        <v>22.593</v>
      </c>
      <c r="K2732" s="465">
        <v>2582.5407799999998</v>
      </c>
      <c r="L2732" s="464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maska 3m strieborná</v>
      </c>
      <c r="C2733" s="185">
        <f t="shared" si="85"/>
        <v>8.2491599999999998</v>
      </c>
      <c r="D2733" s="409" t="s">
        <v>2895</v>
      </c>
      <c r="E2733" s="409" t="s">
        <v>3999</v>
      </c>
      <c r="F2733" s="409" t="s">
        <v>4000</v>
      </c>
      <c r="G2733" s="409" t="s">
        <v>4001</v>
      </c>
      <c r="H2733" s="465">
        <v>229.42812000000001</v>
      </c>
      <c r="I2733" s="465">
        <v>8.2491599999999998</v>
      </c>
      <c r="J2733" s="465">
        <v>28.845600000000001</v>
      </c>
      <c r="K2733" s="465">
        <v>3287.8130200000001</v>
      </c>
      <c r="L2733" s="464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maska 6m strieborná</v>
      </c>
      <c r="C2734" s="185">
        <f t="shared" si="85"/>
        <v>16.550370000000001</v>
      </c>
      <c r="D2734" s="409" t="s">
        <v>2896</v>
      </c>
      <c r="E2734" s="409" t="s">
        <v>4414</v>
      </c>
      <c r="F2734" s="409" t="s">
        <v>4415</v>
      </c>
      <c r="G2734" s="409" t="s">
        <v>4416</v>
      </c>
      <c r="H2734" s="465">
        <v>460.30372999999997</v>
      </c>
      <c r="I2734" s="465">
        <v>16.550370000000001</v>
      </c>
      <c r="J2734" s="465">
        <v>57.7014</v>
      </c>
      <c r="K2734" s="465">
        <v>6596.3692499999997</v>
      </c>
      <c r="L2734" s="464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maska 1,7m oliva</v>
      </c>
      <c r="C2735" s="185">
        <f t="shared" si="85"/>
        <v>5.69895</v>
      </c>
      <c r="D2735" s="409" t="s">
        <v>2897</v>
      </c>
      <c r="E2735" s="409" t="s">
        <v>3740</v>
      </c>
      <c r="F2735" s="409" t="s">
        <v>2897</v>
      </c>
      <c r="G2735" s="409" t="s">
        <v>3741</v>
      </c>
      <c r="H2735" s="465">
        <v>158.50081</v>
      </c>
      <c r="I2735" s="465">
        <v>5.69895</v>
      </c>
      <c r="J2735" s="465">
        <v>19.597249999999999</v>
      </c>
      <c r="K2735" s="465">
        <v>2271.3912799999998</v>
      </c>
      <c r="L2735" s="464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maska 2,35m oliva</v>
      </c>
      <c r="C2736" s="185">
        <f t="shared" si="85"/>
        <v>7.8848500000000001</v>
      </c>
      <c r="D2736" s="409" t="s">
        <v>2898</v>
      </c>
      <c r="E2736" s="409" t="s">
        <v>3861</v>
      </c>
      <c r="F2736" s="409" t="s">
        <v>2898</v>
      </c>
      <c r="G2736" s="409" t="s">
        <v>3862</v>
      </c>
      <c r="H2736" s="465">
        <v>219.29562999999999</v>
      </c>
      <c r="I2736" s="465">
        <v>7.8848500000000001</v>
      </c>
      <c r="J2736" s="465">
        <v>27.113990000000001</v>
      </c>
      <c r="K2736" s="465">
        <v>3142.60968</v>
      </c>
      <c r="L2736" s="464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maska 3m oliva</v>
      </c>
      <c r="C2737" s="185">
        <f t="shared" si="85"/>
        <v>10.07075</v>
      </c>
      <c r="D2737" s="409" t="s">
        <v>2899</v>
      </c>
      <c r="E2737" s="409" t="s">
        <v>4023</v>
      </c>
      <c r="F2737" s="409" t="s">
        <v>2899</v>
      </c>
      <c r="G2737" s="409" t="s">
        <v>4024</v>
      </c>
      <c r="H2737" s="465">
        <v>280.09048000000001</v>
      </c>
      <c r="I2737" s="465">
        <v>10.07075</v>
      </c>
      <c r="J2737" s="465">
        <v>34.630749999999999</v>
      </c>
      <c r="K2737" s="465">
        <v>4013.8284699999999</v>
      </c>
      <c r="L2737" s="464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maska 4,05m oliva</v>
      </c>
      <c r="C2738" s="185">
        <f t="shared" si="85"/>
        <v>13.609819999999999</v>
      </c>
      <c r="D2738" s="409" t="s">
        <v>2900</v>
      </c>
      <c r="E2738" s="409" t="s">
        <v>4223</v>
      </c>
      <c r="F2738" s="409" t="s">
        <v>2900</v>
      </c>
      <c r="G2738" s="409" t="s">
        <v>4224</v>
      </c>
      <c r="H2738" s="465">
        <v>378.52019000000001</v>
      </c>
      <c r="I2738" s="465">
        <v>13.609819999999999</v>
      </c>
      <c r="J2738" s="465">
        <v>46.800719999999998</v>
      </c>
      <c r="K2738" s="465">
        <v>5424.3725800000002</v>
      </c>
      <c r="L2738" s="464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maska 6m oliva</v>
      </c>
      <c r="C2739" s="185">
        <f t="shared" si="85"/>
        <v>20.141490000000001</v>
      </c>
      <c r="D2739" s="409" t="s">
        <v>2901</v>
      </c>
      <c r="E2739" s="409" t="s">
        <v>4481</v>
      </c>
      <c r="F2739" s="409" t="s">
        <v>2901</v>
      </c>
      <c r="G2739" s="409" t="s">
        <v>4482</v>
      </c>
      <c r="H2739" s="465">
        <v>560.18092999999999</v>
      </c>
      <c r="I2739" s="465">
        <v>20.141490000000001</v>
      </c>
      <c r="J2739" s="465">
        <v>69.261480000000006</v>
      </c>
      <c r="K2739" s="465">
        <v>8027.6565700000001</v>
      </c>
      <c r="L2739" s="464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maska 4,3m strieborná</v>
      </c>
      <c r="C2740" s="185">
        <f t="shared" si="85"/>
        <v>12.273440000000001</v>
      </c>
      <c r="D2740" s="409" t="s">
        <v>2902</v>
      </c>
      <c r="E2740" s="409" t="s">
        <v>4242</v>
      </c>
      <c r="F2740" s="409" t="s">
        <v>4243</v>
      </c>
      <c r="G2740" s="409" t="s">
        <v>4244</v>
      </c>
      <c r="H2740" s="465">
        <v>324.37049000000002</v>
      </c>
      <c r="I2740" s="465">
        <v>12.273440000000001</v>
      </c>
      <c r="J2740" s="465">
        <v>43.48977</v>
      </c>
      <c r="K2740" s="465">
        <v>4820.4365600000001</v>
      </c>
      <c r="L2740" s="464" t="s">
        <v>540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vzorkovník samolepiacíh fólií</v>
      </c>
      <c r="C2741" s="185">
        <f t="shared" si="85"/>
        <v>0</v>
      </c>
      <c r="D2741" s="409" t="s">
        <v>2903</v>
      </c>
      <c r="E2741" s="409" t="s">
        <v>5716</v>
      </c>
      <c r="F2741" s="409" t="s">
        <v>5717</v>
      </c>
      <c r="G2741" s="409" t="s">
        <v>5718</v>
      </c>
      <c r="H2741" s="465">
        <v>0</v>
      </c>
      <c r="I2741" s="465">
        <v>0</v>
      </c>
      <c r="J2741" s="465">
        <v>0</v>
      </c>
      <c r="K2741" s="465">
        <v>0</v>
      </c>
      <c r="L2741" s="464" t="s">
        <v>540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úchytová lišta 2,7m strieborná</v>
      </c>
      <c r="C2742" s="185">
        <f t="shared" si="85"/>
        <v>12.594939999999999</v>
      </c>
      <c r="D2742" s="409" t="s">
        <v>2904</v>
      </c>
      <c r="E2742" s="409" t="s">
        <v>5231</v>
      </c>
      <c r="F2742" s="409" t="s">
        <v>5232</v>
      </c>
      <c r="G2742" s="409" t="s">
        <v>5233</v>
      </c>
      <c r="H2742" s="465">
        <v>350.29401000000001</v>
      </c>
      <c r="I2742" s="465">
        <v>12.594939999999999</v>
      </c>
      <c r="J2742" s="465">
        <v>46.195799999999998</v>
      </c>
      <c r="K2742" s="465">
        <v>5019.8782199999996</v>
      </c>
      <c r="L2742" s="464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FUTURE II ÚCH.LIŠTA 3,5 M str.</v>
      </c>
      <c r="C2743" s="185">
        <f t="shared" si="85"/>
        <v>42.052520000000001</v>
      </c>
      <c r="D2743" s="409" t="s">
        <v>2905</v>
      </c>
      <c r="E2743" s="409" t="s">
        <v>4928</v>
      </c>
      <c r="F2743" s="409" t="s">
        <v>4929</v>
      </c>
      <c r="G2743" s="409" t="s">
        <v>4930</v>
      </c>
      <c r="H2743" s="465">
        <v>1169.5767499999999</v>
      </c>
      <c r="I2743" s="465">
        <v>42.052520000000001</v>
      </c>
      <c r="J2743" s="465">
        <v>154.6728</v>
      </c>
      <c r="K2743" s="465">
        <v>16760.585780000001</v>
      </c>
      <c r="L2743" s="464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úchytová lišta 3,5m oliva</v>
      </c>
      <c r="C2744" s="185">
        <f t="shared" si="85"/>
        <v>49.00056</v>
      </c>
      <c r="D2744" s="409" t="s">
        <v>2906</v>
      </c>
      <c r="E2744" s="409" t="s">
        <v>4911</v>
      </c>
      <c r="F2744" s="409" t="s">
        <v>2906</v>
      </c>
      <c r="G2744" s="409" t="s">
        <v>4912</v>
      </c>
      <c r="H2744" s="465">
        <v>1362.81744</v>
      </c>
      <c r="I2744" s="465">
        <v>49.00056</v>
      </c>
      <c r="J2744" s="465">
        <v>170.136</v>
      </c>
      <c r="K2744" s="465">
        <v>19529.815930000001</v>
      </c>
      <c r="L2744" s="464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Future II úch.lišta 2,7m strieborná</v>
      </c>
      <c r="C2745" s="185">
        <f t="shared" si="85"/>
        <v>32.476199999999999</v>
      </c>
      <c r="D2745" s="409" t="s">
        <v>2907</v>
      </c>
      <c r="E2745" s="409" t="s">
        <v>4823</v>
      </c>
      <c r="F2745" s="409" t="s">
        <v>1251</v>
      </c>
      <c r="G2745" s="409" t="s">
        <v>4824</v>
      </c>
      <c r="H2745" s="465">
        <v>903.23748000000001</v>
      </c>
      <c r="I2745" s="465">
        <v>32.476199999999999</v>
      </c>
      <c r="J2745" s="465">
        <v>119.34</v>
      </c>
      <c r="K2745" s="465">
        <v>12943.81868</v>
      </c>
      <c r="L2745" s="464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úchytová lišta 2,7m oliva</v>
      </c>
      <c r="C2746" s="185">
        <f t="shared" si="85"/>
        <v>37.810839999999999</v>
      </c>
      <c r="D2746" s="409" t="s">
        <v>2908</v>
      </c>
      <c r="E2746" s="409" t="s">
        <v>4788</v>
      </c>
      <c r="F2746" s="409" t="s">
        <v>2908</v>
      </c>
      <c r="G2746" s="409" t="s">
        <v>4789</v>
      </c>
      <c r="H2746" s="465">
        <v>1051.60581</v>
      </c>
      <c r="I2746" s="465">
        <v>37.810839999999999</v>
      </c>
      <c r="J2746" s="465">
        <v>131.2638</v>
      </c>
      <c r="K2746" s="465">
        <v>15070.00663</v>
      </c>
      <c r="L2746" s="464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str">
        <f t="shared" si="84"/>
        <v>SEVROLL 02557 profil "U" pro lamino 10mm 2m strieborná</v>
      </c>
      <c r="C2747" s="185" t="e">
        <f t="shared" si="85"/>
        <v>#N/A</v>
      </c>
      <c r="D2747" s="409" t="s">
        <v>2909</v>
      </c>
      <c r="E2747" s="409" t="s">
        <v>3587</v>
      </c>
      <c r="F2747" s="409" t="s">
        <v>3588</v>
      </c>
      <c r="G2747" s="409" t="s">
        <v>3589</v>
      </c>
      <c r="H2747" s="465" t="e">
        <v>#N/A</v>
      </c>
      <c r="I2747" s="465" t="e">
        <v>#N/A</v>
      </c>
      <c r="J2747" s="465" t="e">
        <v>#N/A</v>
      </c>
      <c r="K2747" s="465" t="e">
        <v>#N/A</v>
      </c>
      <c r="L2747" s="464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profil "U" pro lamino 10mm 3m strieborná</v>
      </c>
      <c r="C2748" s="185">
        <f t="shared" si="85"/>
        <v>4.9703200000000001</v>
      </c>
      <c r="D2748" s="409" t="s">
        <v>2910</v>
      </c>
      <c r="E2748" s="409" t="s">
        <v>3695</v>
      </c>
      <c r="F2748" s="409" t="s">
        <v>3696</v>
      </c>
      <c r="G2748" s="409" t="s">
        <v>3697</v>
      </c>
      <c r="H2748" s="465">
        <v>138.23586</v>
      </c>
      <c r="I2748" s="465">
        <v>4.9703200000000001</v>
      </c>
      <c r="J2748" s="465">
        <v>17.091660000000001</v>
      </c>
      <c r="K2748" s="465">
        <v>1980.9850300000001</v>
      </c>
      <c r="L2748" s="464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str">
        <f t="shared" si="84"/>
        <v>SEVROLL SPODNÉ VED. MAXIM II 3,5M STR.</v>
      </c>
      <c r="C2749" s="185" t="e">
        <f t="shared" si="85"/>
        <v>#N/A</v>
      </c>
      <c r="D2749" s="409" t="s">
        <v>2911</v>
      </c>
      <c r="E2749" s="409" t="s">
        <v>4638</v>
      </c>
      <c r="F2749" s="409" t="s">
        <v>4639</v>
      </c>
      <c r="G2749" s="409" t="s">
        <v>4640</v>
      </c>
      <c r="H2749" s="465" t="e">
        <v>#N/A</v>
      </c>
      <c r="I2749" s="465" t="e">
        <v>#N/A</v>
      </c>
      <c r="J2749" s="465" t="e">
        <v>#N/A</v>
      </c>
      <c r="K2749" s="465" t="e">
        <v>#N/A</v>
      </c>
      <c r="L2749" s="464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str">
        <f t="shared" si="84"/>
        <v>SEVROLL SPODNÉ VED. MAXIM II 4,3M STR.</v>
      </c>
      <c r="C2750" s="185" t="e">
        <f t="shared" si="85"/>
        <v>#N/A</v>
      </c>
      <c r="D2750" s="409" t="s">
        <v>2912</v>
      </c>
      <c r="E2750" s="409" t="s">
        <v>4755</v>
      </c>
      <c r="F2750" s="409" t="s">
        <v>4756</v>
      </c>
      <c r="G2750" s="409" t="s">
        <v>4757</v>
      </c>
      <c r="H2750" s="465" t="e">
        <v>#N/A</v>
      </c>
      <c r="I2750" s="465" t="e">
        <v>#N/A</v>
      </c>
      <c r="J2750" s="465" t="e">
        <v>#N/A</v>
      </c>
      <c r="K2750" s="465" t="e">
        <v>#N/A</v>
      </c>
      <c r="L2750" s="464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str">
        <f t="shared" si="84"/>
        <v>SEVROLL 02815 MAXIM II MASKA 3,5 M strieborná</v>
      </c>
      <c r="C2751" s="185" t="e">
        <f t="shared" si="85"/>
        <v>#N/A</v>
      </c>
      <c r="D2751" s="409" t="s">
        <v>2913</v>
      </c>
      <c r="E2751" s="409" t="s">
        <v>4100</v>
      </c>
      <c r="F2751" s="409" t="s">
        <v>4101</v>
      </c>
      <c r="G2751" s="409" t="s">
        <v>4102</v>
      </c>
      <c r="H2751" s="465" t="e">
        <v>#N/A</v>
      </c>
      <c r="I2751" s="465" t="e">
        <v>#N/A</v>
      </c>
      <c r="J2751" s="465" t="e">
        <v>#N/A</v>
      </c>
      <c r="K2751" s="465" t="e">
        <v>#N/A</v>
      </c>
      <c r="L2751" s="464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str">
        <f t="shared" si="84"/>
        <v>SEVROLL 02805 Maxim II spodné vedenie 1,8m strieborná</v>
      </c>
      <c r="C2752" s="185" t="e">
        <f t="shared" si="85"/>
        <v>#N/A</v>
      </c>
      <c r="D2752" s="409" t="s">
        <v>2914</v>
      </c>
      <c r="E2752" s="409" t="s">
        <v>4145</v>
      </c>
      <c r="F2752" s="409" t="s">
        <v>4146</v>
      </c>
      <c r="G2752" s="409" t="s">
        <v>4147</v>
      </c>
      <c r="H2752" s="465" t="e">
        <v>#N/A</v>
      </c>
      <c r="I2752" s="465" t="e">
        <v>#N/A</v>
      </c>
      <c r="J2752" s="465" t="e">
        <v>#N/A</v>
      </c>
      <c r="K2752" s="465" t="e">
        <v>#N/A</v>
      </c>
      <c r="L2752" s="464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str">
        <f t="shared" si="84"/>
        <v>SEVROLL Maxim II spodné vedenie 2,5m str.</v>
      </c>
      <c r="C2753" s="185" t="e">
        <f t="shared" si="85"/>
        <v>#N/A</v>
      </c>
      <c r="D2753" s="409" t="s">
        <v>2915</v>
      </c>
      <c r="E2753" s="409" t="s">
        <v>4406</v>
      </c>
      <c r="F2753" s="409" t="s">
        <v>1229</v>
      </c>
      <c r="G2753" s="409" t="s">
        <v>4407</v>
      </c>
      <c r="H2753" s="465" t="e">
        <v>#N/A</v>
      </c>
      <c r="I2753" s="465" t="e">
        <v>#N/A</v>
      </c>
      <c r="J2753" s="465" t="e">
        <v>#N/A</v>
      </c>
      <c r="K2753" s="465" t="e">
        <v>#N/A</v>
      </c>
      <c r="L2753" s="464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str">
        <f t="shared" si="84"/>
        <v>SEVROLL 02890 Maxim II spodné vedenie 6m strieborná</v>
      </c>
      <c r="C2754" s="185" t="e">
        <f t="shared" si="85"/>
        <v>#N/A</v>
      </c>
      <c r="D2754" s="409" t="s">
        <v>2916</v>
      </c>
      <c r="E2754" s="409" t="s">
        <v>4908</v>
      </c>
      <c r="F2754" s="409" t="s">
        <v>4909</v>
      </c>
      <c r="G2754" s="409" t="s">
        <v>4910</v>
      </c>
      <c r="H2754" s="465" t="e">
        <v>#N/A</v>
      </c>
      <c r="I2754" s="465" t="e">
        <v>#N/A</v>
      </c>
      <c r="J2754" s="465" t="e">
        <v>#N/A</v>
      </c>
      <c r="K2754" s="465" t="e">
        <v>#N/A</v>
      </c>
      <c r="L2754" s="464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str">
        <f t="shared" si="84"/>
        <v>SEVROLL 02812 Maxim II maska 1,8m strieborná</v>
      </c>
      <c r="C2755" s="185" t="e">
        <f t="shared" si="85"/>
        <v>#N/A</v>
      </c>
      <c r="D2755" s="409" t="s">
        <v>2917</v>
      </c>
      <c r="E2755" s="409" t="s">
        <v>3733</v>
      </c>
      <c r="F2755" s="409" t="s">
        <v>3734</v>
      </c>
      <c r="G2755" s="409" t="s">
        <v>3735</v>
      </c>
      <c r="H2755" s="465" t="e">
        <v>#N/A</v>
      </c>
      <c r="I2755" s="465" t="e">
        <v>#N/A</v>
      </c>
      <c r="J2755" s="465" t="e">
        <v>#N/A</v>
      </c>
      <c r="K2755" s="465" t="e">
        <v>#N/A</v>
      </c>
      <c r="L2755" s="464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str">
        <f t="shared" ref="B2756:B2819" si="86">IF($A$2=1,D2756,IF($A$2=2,F2756,IF($A$2=3,G2756,IF($A$2=4,E2756,IF($A$2&gt;4,P2756,"zadat jazyk")))))</f>
        <v>SEVROLL 02813 Maxim II maska 2,5m strieborná</v>
      </c>
      <c r="C2756" s="185" t="e">
        <f t="shared" ref="C2756:C2819" si="87">IF($A$2=1,H2756,IF($A$2=2,I2756,IF($A$2=3,J2756,IF($A$2=4,K2756,IF($A$2&gt;4,O2756,"zadat jazyk")))))</f>
        <v>#N/A</v>
      </c>
      <c r="D2756" s="409" t="s">
        <v>2918</v>
      </c>
      <c r="E2756" s="409" t="s">
        <v>3889</v>
      </c>
      <c r="F2756" s="409" t="s">
        <v>3890</v>
      </c>
      <c r="G2756" s="409" t="s">
        <v>3891</v>
      </c>
      <c r="H2756" s="465" t="e">
        <v>#N/A</v>
      </c>
      <c r="I2756" s="465" t="e">
        <v>#N/A</v>
      </c>
      <c r="J2756" s="465" t="e">
        <v>#N/A</v>
      </c>
      <c r="K2756" s="465" t="e">
        <v>#N/A</v>
      </c>
      <c r="L2756" s="464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str">
        <f t="shared" si="86"/>
        <v>SEVROLL 02891 Maxim II maska 6m strieborná</v>
      </c>
      <c r="C2757" s="185" t="e">
        <f t="shared" si="87"/>
        <v>#N/A</v>
      </c>
      <c r="D2757" s="409" t="s">
        <v>2919</v>
      </c>
      <c r="E2757" s="409" t="s">
        <v>4440</v>
      </c>
      <c r="F2757" s="409" t="s">
        <v>4441</v>
      </c>
      <c r="G2757" s="409" t="s">
        <v>4442</v>
      </c>
      <c r="H2757" s="465" t="e">
        <v>#N/A</v>
      </c>
      <c r="I2757" s="465" t="e">
        <v>#N/A</v>
      </c>
      <c r="J2757" s="465" t="e">
        <v>#N/A</v>
      </c>
      <c r="K2757" s="465" t="e">
        <v>#N/A</v>
      </c>
      <c r="L2757" s="464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str">
        <f t="shared" si="86"/>
        <v>SEVROLL 02893 Maxim vodiaca lišta 6m strieborná</v>
      </c>
      <c r="C2758" s="185" t="e">
        <f t="shared" si="87"/>
        <v>#N/A</v>
      </c>
      <c r="D2758" s="409" t="s">
        <v>2920</v>
      </c>
      <c r="E2758" s="409" t="s">
        <v>4979</v>
      </c>
      <c r="F2758" s="409" t="s">
        <v>4980</v>
      </c>
      <c r="G2758" s="409" t="s">
        <v>4981</v>
      </c>
      <c r="H2758" s="465" t="e">
        <v>#N/A</v>
      </c>
      <c r="I2758" s="465" t="e">
        <v>#N/A</v>
      </c>
      <c r="J2758" s="465" t="e">
        <v>#N/A</v>
      </c>
      <c r="K2758" s="465" t="e">
        <v>#N/A</v>
      </c>
      <c r="L2758" s="464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str">
        <f t="shared" si="86"/>
        <v>SEVROLL 02889  Maxim spodná krycia lišta 6m 10mm strieborná</v>
      </c>
      <c r="C2759" s="185" t="e">
        <f t="shared" si="87"/>
        <v>#N/A</v>
      </c>
      <c r="D2759" s="409" t="s">
        <v>2921</v>
      </c>
      <c r="E2759" s="409" t="s">
        <v>5053</v>
      </c>
      <c r="F2759" s="409" t="s">
        <v>5054</v>
      </c>
      <c r="G2759" s="409" t="s">
        <v>5055</v>
      </c>
      <c r="H2759" s="465" t="e">
        <v>#N/A</v>
      </c>
      <c r="I2759" s="465" t="e">
        <v>#N/A</v>
      </c>
      <c r="J2759" s="465" t="e">
        <v>#N/A</v>
      </c>
      <c r="K2759" s="465" t="e">
        <v>#N/A</v>
      </c>
      <c r="L2759" s="464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sada pre úchytovú lištu Fox II</v>
      </c>
      <c r="C2760" s="185">
        <f t="shared" si="87"/>
        <v>53.164169999999999</v>
      </c>
      <c r="D2760" s="409" t="s">
        <v>2922</v>
      </c>
      <c r="E2760" s="409" t="s">
        <v>5034</v>
      </c>
      <c r="F2760" s="409" t="s">
        <v>5035</v>
      </c>
      <c r="G2760" s="409" t="s">
        <v>5036</v>
      </c>
      <c r="H2760" s="465">
        <v>1478.6171099999999</v>
      </c>
      <c r="I2760" s="465">
        <v>53.164169999999999</v>
      </c>
      <c r="J2760" s="465">
        <v>185.4768</v>
      </c>
      <c r="K2760" s="465">
        <v>21189.279849999999</v>
      </c>
      <c r="L2760" s="464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str">
        <f t="shared" si="86"/>
        <v>SEVROLL Prosper II úch.lišta 2,7m strieborná</v>
      </c>
      <c r="C2761" s="185" t="e">
        <f t="shared" si="87"/>
        <v>#N/A</v>
      </c>
      <c r="D2761" s="409" t="s">
        <v>2923</v>
      </c>
      <c r="E2761" s="409" t="s">
        <v>4665</v>
      </c>
      <c r="F2761" s="409" t="s">
        <v>1214</v>
      </c>
      <c r="G2761" s="409" t="s">
        <v>4666</v>
      </c>
      <c r="H2761" s="465" t="e">
        <v>#N/A</v>
      </c>
      <c r="I2761" s="465" t="e">
        <v>#N/A</v>
      </c>
      <c r="J2761" s="465" t="e">
        <v>#N/A</v>
      </c>
      <c r="K2761" s="465" t="e">
        <v>#N/A</v>
      </c>
      <c r="L2761" s="464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spodné vedenie 2,35m strieborná</v>
      </c>
      <c r="C2762" s="185">
        <f t="shared" si="87"/>
        <v>9.9679599999999997</v>
      </c>
      <c r="D2762" s="409" t="s">
        <v>2924</v>
      </c>
      <c r="E2762" s="409" t="s">
        <v>4014</v>
      </c>
      <c r="F2762" s="409" t="s">
        <v>4015</v>
      </c>
      <c r="G2762" s="409" t="s">
        <v>4016</v>
      </c>
      <c r="H2762" s="465">
        <v>264.23309</v>
      </c>
      <c r="I2762" s="465">
        <v>9.9679599999999997</v>
      </c>
      <c r="J2762" s="465">
        <v>34.00788</v>
      </c>
      <c r="K2762" s="465">
        <v>3859.7651500000002</v>
      </c>
      <c r="L2762" s="464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sada Apollo 2/756</v>
      </c>
      <c r="C2763" s="185">
        <f t="shared" si="87"/>
        <v>31.070979999999999</v>
      </c>
      <c r="D2763" s="409" t="s">
        <v>1695</v>
      </c>
      <c r="E2763" s="409" t="s">
        <v>2127</v>
      </c>
      <c r="F2763" s="409" t="s">
        <v>1695</v>
      </c>
      <c r="G2763" s="409" t="s">
        <v>2603</v>
      </c>
      <c r="H2763" s="465">
        <v>823.74495000000002</v>
      </c>
      <c r="I2763" s="465">
        <v>31.070979999999999</v>
      </c>
      <c r="J2763" s="465">
        <v>106.0055</v>
      </c>
      <c r="K2763" s="465">
        <v>12032.7929</v>
      </c>
      <c r="L2763" s="464" t="s">
        <v>539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sada kovania ZSE-10 Plus</v>
      </c>
      <c r="C2764" s="185">
        <f t="shared" si="87"/>
        <v>66.747969999999995</v>
      </c>
      <c r="D2764" s="409" t="s">
        <v>1696</v>
      </c>
      <c r="E2764" s="409" t="s">
        <v>2128</v>
      </c>
      <c r="F2764" s="409" t="s">
        <v>6126</v>
      </c>
      <c r="G2764" s="409" t="s">
        <v>2604</v>
      </c>
      <c r="H2764" s="465">
        <v>1856.4135799999999</v>
      </c>
      <c r="I2764" s="465">
        <v>66.747969999999995</v>
      </c>
      <c r="J2764" s="465">
        <v>232.9272</v>
      </c>
      <c r="K2764" s="465">
        <v>26603.281200000001</v>
      </c>
      <c r="L2764" s="464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horné vedenie 1,2m surová</v>
      </c>
      <c r="C2765" s="185">
        <f t="shared" si="87"/>
        <v>15.483449999999999</v>
      </c>
      <c r="D2765" s="409" t="s">
        <v>2925</v>
      </c>
      <c r="E2765" s="409" t="s">
        <v>4185</v>
      </c>
      <c r="F2765" s="409" t="s">
        <v>4186</v>
      </c>
      <c r="G2765" s="409" t="s">
        <v>4187</v>
      </c>
      <c r="H2765" s="465">
        <v>410.49268999999998</v>
      </c>
      <c r="I2765" s="465">
        <v>15.483449999999999</v>
      </c>
      <c r="J2765" s="465">
        <v>52.825180000000003</v>
      </c>
      <c r="K2765" s="465">
        <v>5996.2412899999999</v>
      </c>
      <c r="L2765" s="464" t="s">
        <v>539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horné/spodné vedenie 3m strieborná</v>
      </c>
      <c r="C2766" s="185">
        <f t="shared" si="87"/>
        <v>13.14141</v>
      </c>
      <c r="D2766" s="409" t="s">
        <v>2926</v>
      </c>
      <c r="E2766" s="409" t="s">
        <v>4163</v>
      </c>
      <c r="F2766" s="409" t="s">
        <v>4164</v>
      </c>
      <c r="G2766" s="409" t="s">
        <v>4165</v>
      </c>
      <c r="H2766" s="465">
        <v>365.49274000000003</v>
      </c>
      <c r="I2766" s="465">
        <v>13.14141</v>
      </c>
      <c r="J2766" s="465">
        <v>49.368000000000002</v>
      </c>
      <c r="K2766" s="465">
        <v>5237.6832100000001</v>
      </c>
      <c r="L2766" s="464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hornéspodné vedenie 3m oliva</v>
      </c>
      <c r="C2767" s="185">
        <f t="shared" si="87"/>
        <v>14.572660000000001</v>
      </c>
      <c r="D2767" s="409" t="s">
        <v>2927</v>
      </c>
      <c r="E2767" s="409" t="s">
        <v>4160</v>
      </c>
      <c r="F2767" s="409" t="s">
        <v>4161</v>
      </c>
      <c r="G2767" s="409" t="s">
        <v>4162</v>
      </c>
      <c r="H2767" s="465">
        <v>405.29887000000002</v>
      </c>
      <c r="I2767" s="465">
        <v>14.572660000000001</v>
      </c>
      <c r="J2767" s="465">
        <v>54.3048</v>
      </c>
      <c r="K2767" s="465">
        <v>5808.12374</v>
      </c>
      <c r="L2767" s="464" t="s">
        <v>539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tesnenie na sklo 18/4mm symetrické</v>
      </c>
      <c r="C2768" s="185">
        <f t="shared" si="87"/>
        <v>2.3160099999999999</v>
      </c>
      <c r="D2768" s="409" t="s">
        <v>2928</v>
      </c>
      <c r="E2768" s="409" t="s">
        <v>6171</v>
      </c>
      <c r="F2768" s="409" t="s">
        <v>6172</v>
      </c>
      <c r="G2768" s="409" t="s">
        <v>6173</v>
      </c>
      <c r="H2768" s="465">
        <v>68.352530000000002</v>
      </c>
      <c r="I2768" s="465">
        <v>2.3160099999999999</v>
      </c>
      <c r="J2768" s="465">
        <v>7.6425999999999998</v>
      </c>
      <c r="K2768" s="465">
        <v>949.23690999999997</v>
      </c>
      <c r="L2768" s="464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tesnenie na sklo 18/8mm symetrické</v>
      </c>
      <c r="C2769" s="185">
        <f t="shared" si="87"/>
        <v>2.3160099999999999</v>
      </c>
      <c r="D2769" s="409" t="s">
        <v>2929</v>
      </c>
      <c r="E2769" s="409" t="s">
        <v>6174</v>
      </c>
      <c r="F2769" s="409" t="s">
        <v>6175</v>
      </c>
      <c r="G2769" s="409" t="s">
        <v>6176</v>
      </c>
      <c r="H2769" s="465">
        <v>68.352530000000002</v>
      </c>
      <c r="I2769" s="465">
        <v>2.3160099999999999</v>
      </c>
      <c r="J2769" s="465">
        <v>7.6425999999999998</v>
      </c>
      <c r="K2769" s="465">
        <v>949.23690999999997</v>
      </c>
      <c r="L2769" s="464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sada kovania ZSE-18</v>
      </c>
      <c r="C2770" s="185">
        <f t="shared" si="87"/>
        <v>44.862960000000001</v>
      </c>
      <c r="D2770" s="409" t="s">
        <v>1697</v>
      </c>
      <c r="E2770" s="409" t="s">
        <v>2129</v>
      </c>
      <c r="F2770" s="409" t="s">
        <v>6127</v>
      </c>
      <c r="G2770" s="409" t="s">
        <v>2605</v>
      </c>
      <c r="H2770" s="465">
        <v>1247.7415100000001</v>
      </c>
      <c r="I2770" s="465">
        <v>44.862960000000001</v>
      </c>
      <c r="J2770" s="465">
        <v>156.62100000000001</v>
      </c>
      <c r="K2770" s="465">
        <v>17880.723620000001</v>
      </c>
      <c r="L2770" s="464" t="s">
        <v>539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sada kovania ZSE-18 Plus</v>
      </c>
      <c r="C2771" s="185">
        <f t="shared" si="87"/>
        <v>65.759110000000007</v>
      </c>
      <c r="D2771" s="409" t="s">
        <v>1698</v>
      </c>
      <c r="E2771" s="409" t="s">
        <v>2130</v>
      </c>
      <c r="F2771" s="409" t="s">
        <v>6128</v>
      </c>
      <c r="G2771" s="409" t="s">
        <v>2606</v>
      </c>
      <c r="H2771" s="465">
        <v>1828.9111499999999</v>
      </c>
      <c r="I2771" s="465">
        <v>65.759110000000007</v>
      </c>
      <c r="J2771" s="465">
        <v>229.43879999999999</v>
      </c>
      <c r="K2771" s="465">
        <v>26209.158439999999</v>
      </c>
      <c r="L2771" s="464" t="s">
        <v>539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sada kovania ZSE-18 U Plus</v>
      </c>
      <c r="C2772" s="185">
        <f t="shared" si="87"/>
        <v>66.01934</v>
      </c>
      <c r="D2772" s="409" t="s">
        <v>1699</v>
      </c>
      <c r="E2772" s="409" t="s">
        <v>2131</v>
      </c>
      <c r="F2772" s="409" t="s">
        <v>6129</v>
      </c>
      <c r="G2772" s="409" t="s">
        <v>2607</v>
      </c>
      <c r="H2772" s="465">
        <v>1836.1486299999999</v>
      </c>
      <c r="I2772" s="465">
        <v>66.01934</v>
      </c>
      <c r="J2772" s="465">
        <v>230.29560000000001</v>
      </c>
      <c r="K2772" s="465">
        <v>26312.874950000001</v>
      </c>
      <c r="L2772" s="464" t="s">
        <v>539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horné/spodné vedenie 1,7m oliva</v>
      </c>
      <c r="C2773" s="185">
        <f t="shared" si="87"/>
        <v>4.0074800000000002</v>
      </c>
      <c r="D2773" s="409" t="s">
        <v>2930</v>
      </c>
      <c r="E2773" s="409" t="s">
        <v>3613</v>
      </c>
      <c r="F2773" s="409" t="s">
        <v>3614</v>
      </c>
      <c r="G2773" s="409" t="s">
        <v>3615</v>
      </c>
      <c r="H2773" s="465">
        <v>111.45717999999999</v>
      </c>
      <c r="I2773" s="465">
        <v>4.0074800000000002</v>
      </c>
      <c r="J2773" s="465">
        <v>13.780720000000001</v>
      </c>
      <c r="K2773" s="465">
        <v>1597.23387</v>
      </c>
      <c r="L2773" s="464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horné/spodné vedenie 2,35m oliva</v>
      </c>
      <c r="C2774" s="185">
        <f t="shared" si="87"/>
        <v>5.5428100000000002</v>
      </c>
      <c r="D2774" s="409" t="s">
        <v>2931</v>
      </c>
      <c r="E2774" s="409" t="s">
        <v>3709</v>
      </c>
      <c r="F2774" s="409" t="s">
        <v>3710</v>
      </c>
      <c r="G2774" s="409" t="s">
        <v>3711</v>
      </c>
      <c r="H2774" s="465">
        <v>154.15831</v>
      </c>
      <c r="I2774" s="465">
        <v>5.5428100000000002</v>
      </c>
      <c r="J2774" s="465">
        <v>19.06033</v>
      </c>
      <c r="K2774" s="465">
        <v>2209.1612300000002</v>
      </c>
      <c r="L2774" s="464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horné vedenie jednoduché 3m strieborná</v>
      </c>
      <c r="C2775" s="185">
        <f t="shared" si="87"/>
        <v>33.387</v>
      </c>
      <c r="D2775" s="409" t="s">
        <v>2932</v>
      </c>
      <c r="E2775" s="409" t="s">
        <v>4856</v>
      </c>
      <c r="F2775" s="409" t="s">
        <v>4857</v>
      </c>
      <c r="G2775" s="409" t="s">
        <v>4858</v>
      </c>
      <c r="H2775" s="465">
        <v>928.56865000000005</v>
      </c>
      <c r="I2775" s="465">
        <v>33.387</v>
      </c>
      <c r="J2775" s="465">
        <v>116.4534</v>
      </c>
      <c r="K2775" s="465">
        <v>13306.8262</v>
      </c>
      <c r="L2775" s="464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horné vedenie jednoduché 3m oliva</v>
      </c>
      <c r="C2776" s="185">
        <f t="shared" si="87"/>
        <v>40.595260000000003</v>
      </c>
      <c r="D2776" s="409" t="s">
        <v>2933</v>
      </c>
      <c r="E2776" s="409" t="s">
        <v>4899</v>
      </c>
      <c r="F2776" s="409" t="s">
        <v>4900</v>
      </c>
      <c r="G2776" s="409" t="s">
        <v>4901</v>
      </c>
      <c r="H2776" s="465">
        <v>1129.0468499999999</v>
      </c>
      <c r="I2776" s="465">
        <v>40.595260000000003</v>
      </c>
      <c r="J2776" s="465">
        <v>139.59678</v>
      </c>
      <c r="K2776" s="465">
        <v>16179.77324</v>
      </c>
      <c r="L2776" s="464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horné vedenie jednoduché 6m strieborná</v>
      </c>
      <c r="C2777" s="185">
        <f t="shared" si="87"/>
        <v>66.721950000000007</v>
      </c>
      <c r="D2777" s="409" t="s">
        <v>2934</v>
      </c>
      <c r="E2777" s="409" t="s">
        <v>5043</v>
      </c>
      <c r="F2777" s="409" t="s">
        <v>5044</v>
      </c>
      <c r="G2777" s="409" t="s">
        <v>5045</v>
      </c>
      <c r="H2777" s="465">
        <v>1855.6898100000001</v>
      </c>
      <c r="I2777" s="465">
        <v>66.721950000000007</v>
      </c>
      <c r="J2777" s="465">
        <v>232.83539999999999</v>
      </c>
      <c r="K2777" s="465">
        <v>26592.909199999998</v>
      </c>
      <c r="L2777" s="464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horné vedenie jednoduché 6m oliva</v>
      </c>
      <c r="C2778" s="185">
        <f t="shared" si="87"/>
        <v>81.190510000000003</v>
      </c>
      <c r="D2778" s="409" t="s">
        <v>2935</v>
      </c>
      <c r="E2778" s="409" t="s">
        <v>5064</v>
      </c>
      <c r="F2778" s="409" t="s">
        <v>5065</v>
      </c>
      <c r="G2778" s="409" t="s">
        <v>5066</v>
      </c>
      <c r="H2778" s="465">
        <v>2258.0936999999999</v>
      </c>
      <c r="I2778" s="465">
        <v>81.190510000000003</v>
      </c>
      <c r="J2778" s="465">
        <v>279.19358</v>
      </c>
      <c r="K2778" s="465">
        <v>32359.5465</v>
      </c>
      <c r="L2778" s="464" t="s">
        <v>539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úchytová lišta 2,7m oliva kartáčovaná</v>
      </c>
      <c r="C2779" s="185">
        <f t="shared" si="87"/>
        <v>23.992840000000001</v>
      </c>
      <c r="D2779" s="409" t="s">
        <v>2936</v>
      </c>
      <c r="E2779" s="409" t="s">
        <v>4616</v>
      </c>
      <c r="F2779" s="409" t="s">
        <v>2936</v>
      </c>
      <c r="G2779" s="409" t="s">
        <v>4617</v>
      </c>
      <c r="H2779" s="465">
        <v>667.29562999999996</v>
      </c>
      <c r="I2779" s="465">
        <v>23.992840000000001</v>
      </c>
      <c r="J2779" s="465">
        <v>82.505279999999999</v>
      </c>
      <c r="K2779" s="465">
        <v>9562.6607700000004</v>
      </c>
      <c r="L2779" s="464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uholník K2 Decor 1,7m oliva kartáčov</v>
      </c>
      <c r="C2780" s="185">
        <f t="shared" si="87"/>
        <v>4.8922499999999998</v>
      </c>
      <c r="D2780" s="409" t="s">
        <v>2937</v>
      </c>
      <c r="E2780" s="409" t="s">
        <v>3679</v>
      </c>
      <c r="F2780" s="409" t="s">
        <v>1197</v>
      </c>
      <c r="G2780" s="409" t="s">
        <v>3680</v>
      </c>
      <c r="H2780" s="465">
        <v>136.06462999999999</v>
      </c>
      <c r="I2780" s="465">
        <v>4.8922499999999998</v>
      </c>
      <c r="J2780" s="465">
        <v>16.82321</v>
      </c>
      <c r="K2780" s="465">
        <v>1949.8701900000001</v>
      </c>
      <c r="L2780" s="464" t="s">
        <v>538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uholník K2 Decor 2,35m oliva kartáč.</v>
      </c>
      <c r="C2781" s="185">
        <f t="shared" si="87"/>
        <v>6.7658800000000001</v>
      </c>
      <c r="D2781" s="409" t="s">
        <v>2938</v>
      </c>
      <c r="E2781" s="409" t="s">
        <v>3809</v>
      </c>
      <c r="F2781" s="409" t="s">
        <v>1196</v>
      </c>
      <c r="G2781" s="409" t="s">
        <v>3810</v>
      </c>
      <c r="H2781" s="465">
        <v>188.17447000000001</v>
      </c>
      <c r="I2781" s="465">
        <v>6.7658800000000001</v>
      </c>
      <c r="J2781" s="465">
        <v>23.26613</v>
      </c>
      <c r="K2781" s="465">
        <v>2696.62887</v>
      </c>
      <c r="L2781" s="464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uholník K2 Decor 3m oliva kartáč.</v>
      </c>
      <c r="C2782" s="185">
        <f t="shared" si="87"/>
        <v>8.6395</v>
      </c>
      <c r="D2782" s="409" t="s">
        <v>2939</v>
      </c>
      <c r="E2782" s="409" t="s">
        <v>4010</v>
      </c>
      <c r="F2782" s="409" t="s">
        <v>1195</v>
      </c>
      <c r="G2782" s="409" t="s">
        <v>4011</v>
      </c>
      <c r="H2782" s="465">
        <v>240.28432000000001</v>
      </c>
      <c r="I2782" s="465">
        <v>8.6395</v>
      </c>
      <c r="J2782" s="465">
        <v>31.558800000000002</v>
      </c>
      <c r="K2782" s="465">
        <v>3443.3875499999999</v>
      </c>
      <c r="L2782" s="464" t="s">
        <v>538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spojovacia lišta H18 3m oliva kartáč</v>
      </c>
      <c r="C2783" s="185">
        <f t="shared" si="87"/>
        <v>19.360810000000001</v>
      </c>
      <c r="D2783" s="409" t="s">
        <v>2940</v>
      </c>
      <c r="E2783" s="409" t="s">
        <v>5584</v>
      </c>
      <c r="F2783" s="409" t="s">
        <v>1203</v>
      </c>
      <c r="G2783" s="409" t="s">
        <v>5585</v>
      </c>
      <c r="H2783" s="465">
        <v>538.46848999999997</v>
      </c>
      <c r="I2783" s="465">
        <v>19.360810000000001</v>
      </c>
      <c r="J2783" s="465">
        <v>67.391400000000004</v>
      </c>
      <c r="K2783" s="465">
        <v>7716.5070900000001</v>
      </c>
      <c r="L2783" s="464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85615 Lux III úchytová lišta 2,7m oliva</v>
      </c>
      <c r="C2784" s="185">
        <f t="shared" si="87"/>
        <v>0</v>
      </c>
      <c r="D2784" s="409" t="s">
        <v>2941</v>
      </c>
      <c r="E2784" s="409" t="s">
        <v>4702</v>
      </c>
      <c r="F2784" s="409" t="s">
        <v>2941</v>
      </c>
      <c r="G2784" s="409" t="s">
        <v>4703</v>
      </c>
      <c r="H2784" s="465">
        <v>0</v>
      </c>
      <c r="I2784" s="465">
        <v>0</v>
      </c>
      <c r="J2784" s="465">
        <v>0</v>
      </c>
      <c r="K2784" s="465">
        <v>0</v>
      </c>
      <c r="L2784" s="464" t="s">
        <v>540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úchytová lišta 2,7m strieborná</v>
      </c>
      <c r="C2785" s="185">
        <f t="shared" si="87"/>
        <v>24.747489999999999</v>
      </c>
      <c r="D2785" s="409" t="s">
        <v>2942</v>
      </c>
      <c r="E2785" s="409" t="s">
        <v>4641</v>
      </c>
      <c r="F2785" s="409" t="s">
        <v>4642</v>
      </c>
      <c r="G2785" s="409" t="s">
        <v>4643</v>
      </c>
      <c r="H2785" s="465">
        <v>688.28432999999995</v>
      </c>
      <c r="I2785" s="465">
        <v>24.747489999999999</v>
      </c>
      <c r="J2785" s="465">
        <v>102.72564</v>
      </c>
      <c r="K2785" s="465">
        <v>9863.4386500000001</v>
      </c>
      <c r="L2785" s="464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20021-BL dorazový kartáč zásuvný 4,8x6mm</v>
      </c>
      <c r="C2786" s="185">
        <f t="shared" si="87"/>
        <v>0.13933000000000001</v>
      </c>
      <c r="D2786" s="409" t="s">
        <v>2943</v>
      </c>
      <c r="E2786" s="409" t="s">
        <v>5137</v>
      </c>
      <c r="F2786" s="409" t="s">
        <v>5138</v>
      </c>
      <c r="G2786" s="409" t="s">
        <v>5139</v>
      </c>
      <c r="H2786" s="465">
        <v>4.0809699999999998</v>
      </c>
      <c r="I2786" s="465">
        <v>0.13933000000000001</v>
      </c>
      <c r="J2786" s="465">
        <v>0.54059999999999997</v>
      </c>
      <c r="K2786" s="465">
        <v>54.124229999999997</v>
      </c>
      <c r="L2786" s="464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str">
        <f t="shared" si="86"/>
        <v>SEVROLL 02892 Maxim horné vedenie 6m strieborná</v>
      </c>
      <c r="C2787" s="185" t="e">
        <f t="shared" si="87"/>
        <v>#N/A</v>
      </c>
      <c r="D2787" s="409" t="s">
        <v>2944</v>
      </c>
      <c r="E2787" s="409" t="s">
        <v>5046</v>
      </c>
      <c r="F2787" s="409" t="s">
        <v>5047</v>
      </c>
      <c r="G2787" s="409" t="s">
        <v>5048</v>
      </c>
      <c r="H2787" s="465" t="e">
        <v>#N/A</v>
      </c>
      <c r="I2787" s="465" t="e">
        <v>#N/A</v>
      </c>
      <c r="J2787" s="465" t="e">
        <v>#N/A</v>
      </c>
      <c r="K2787" s="465" t="e">
        <v>#N/A</v>
      </c>
      <c r="L2787" s="464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úchytová lišta 2,4m strieborná</v>
      </c>
      <c r="C2788" s="185">
        <f t="shared" si="87"/>
        <v>13.609819999999999</v>
      </c>
      <c r="D2788" s="409" t="s">
        <v>2945</v>
      </c>
      <c r="E2788" s="409" t="s">
        <v>4260</v>
      </c>
      <c r="F2788" s="409" t="s">
        <v>4261</v>
      </c>
      <c r="G2788" s="409" t="s">
        <v>4262</v>
      </c>
      <c r="H2788" s="465">
        <v>378.52019000000001</v>
      </c>
      <c r="I2788" s="465">
        <v>13.609819999999999</v>
      </c>
      <c r="J2788" s="465">
        <v>46.800719999999998</v>
      </c>
      <c r="K2788" s="465">
        <v>5424.3725800000002</v>
      </c>
      <c r="L2788" s="464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spodné vedenie 2m surová</v>
      </c>
      <c r="C2789" s="185">
        <f t="shared" si="87"/>
        <v>8.3272300000000001</v>
      </c>
      <c r="D2789" s="409" t="s">
        <v>2946</v>
      </c>
      <c r="E2789" s="409" t="s">
        <v>3932</v>
      </c>
      <c r="F2789" s="409" t="s">
        <v>3933</v>
      </c>
      <c r="G2789" s="409" t="s">
        <v>3934</v>
      </c>
      <c r="H2789" s="465">
        <v>231.59934999999999</v>
      </c>
      <c r="I2789" s="465">
        <v>8.3272300000000001</v>
      </c>
      <c r="J2789" s="465">
        <v>28.63524</v>
      </c>
      <c r="K2789" s="465">
        <v>3318.9278399999998</v>
      </c>
      <c r="L2789" s="464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spodné vedenie 2,4m surová</v>
      </c>
      <c r="C2790" s="185">
        <f t="shared" si="87"/>
        <v>9.99268</v>
      </c>
      <c r="D2790" s="409" t="s">
        <v>2947</v>
      </c>
      <c r="E2790" s="409" t="s">
        <v>4050</v>
      </c>
      <c r="F2790" s="409" t="s">
        <v>4051</v>
      </c>
      <c r="G2790" s="409" t="s">
        <v>4052</v>
      </c>
      <c r="H2790" s="465">
        <v>277.91921000000002</v>
      </c>
      <c r="I2790" s="465">
        <v>9.99268</v>
      </c>
      <c r="J2790" s="465">
        <v>34.362279999999998</v>
      </c>
      <c r="K2790" s="465">
        <v>3982.71326</v>
      </c>
      <c r="L2790" s="464" t="s">
        <v>539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horné vedenie 2m strieborná</v>
      </c>
      <c r="C2791" s="185">
        <f t="shared" si="87"/>
        <v>24.565329999999999</v>
      </c>
      <c r="D2791" s="409" t="s">
        <v>2948</v>
      </c>
      <c r="E2791" s="409" t="s">
        <v>4687</v>
      </c>
      <c r="F2791" s="409" t="s">
        <v>4688</v>
      </c>
      <c r="G2791" s="409" t="s">
        <v>4689</v>
      </c>
      <c r="H2791" s="465">
        <v>683.21807999999999</v>
      </c>
      <c r="I2791" s="465">
        <v>24.565329999999999</v>
      </c>
      <c r="J2791" s="465">
        <v>85.741200000000006</v>
      </c>
      <c r="K2791" s="465">
        <v>9790.83698</v>
      </c>
      <c r="L2791" s="464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horné vedenie 2,4m strieborná</v>
      </c>
      <c r="C2792" s="185">
        <f t="shared" si="87"/>
        <v>29.45758</v>
      </c>
      <c r="D2792" s="409" t="s">
        <v>2949</v>
      </c>
      <c r="E2792" s="409" t="s">
        <v>4785</v>
      </c>
      <c r="F2792" s="409" t="s">
        <v>4786</v>
      </c>
      <c r="G2792" s="409" t="s">
        <v>4787</v>
      </c>
      <c r="H2792" s="465">
        <v>819.28270999999995</v>
      </c>
      <c r="I2792" s="465">
        <v>29.45758</v>
      </c>
      <c r="J2792" s="465">
        <v>102.816</v>
      </c>
      <c r="K2792" s="465">
        <v>11740.70717</v>
      </c>
      <c r="L2792" s="464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sada kování (dvoje dvere)</v>
      </c>
      <c r="C2793" s="185">
        <f t="shared" si="87"/>
        <v>26.60031</v>
      </c>
      <c r="D2793" s="409" t="s">
        <v>2950</v>
      </c>
      <c r="E2793" s="409" t="s">
        <v>4812</v>
      </c>
      <c r="F2793" s="409" t="s">
        <v>4813</v>
      </c>
      <c r="G2793" s="409" t="s">
        <v>4814</v>
      </c>
      <c r="H2793" s="465">
        <v>739.67043000000001</v>
      </c>
      <c r="I2793" s="465">
        <v>26.60031</v>
      </c>
      <c r="J2793" s="465">
        <v>92.830200000000005</v>
      </c>
      <c r="K2793" s="465">
        <v>10599.82573</v>
      </c>
      <c r="L2793" s="464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Hide N spodné vedenie Hide N 3m stri</v>
      </c>
      <c r="C2794" s="185">
        <f t="shared" si="87"/>
        <v>12.72505</v>
      </c>
      <c r="D2794" s="409" t="s">
        <v>2951</v>
      </c>
      <c r="E2794" s="409" t="s">
        <v>4215</v>
      </c>
      <c r="F2794" s="409" t="s">
        <v>1243</v>
      </c>
      <c r="G2794" s="409" t="s">
        <v>4216</v>
      </c>
      <c r="H2794" s="465">
        <v>337.36288999999999</v>
      </c>
      <c r="I2794" s="465">
        <v>12.72505</v>
      </c>
      <c r="J2794" s="465">
        <v>43.414319999999996</v>
      </c>
      <c r="K2794" s="465">
        <v>4928.0032300000003</v>
      </c>
      <c r="L2794" s="464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spodné vedenie 3m oliva</v>
      </c>
      <c r="C2795" s="185">
        <f t="shared" si="87"/>
        <v>14.91095</v>
      </c>
      <c r="D2795" s="409" t="s">
        <v>2952</v>
      </c>
      <c r="E2795" s="409" t="s">
        <v>4248</v>
      </c>
      <c r="F2795" s="409" t="s">
        <v>4249</v>
      </c>
      <c r="G2795" s="409" t="s">
        <v>4250</v>
      </c>
      <c r="H2795" s="465">
        <v>395.31477999999998</v>
      </c>
      <c r="I2795" s="465">
        <v>14.91095</v>
      </c>
      <c r="J2795" s="465">
        <v>50.871980000000001</v>
      </c>
      <c r="K2795" s="465">
        <v>5774.5312299999996</v>
      </c>
      <c r="L2795" s="464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str">
        <f t="shared" si="86"/>
        <v>SEVROLL Wilson A - kompletná sada políc</v>
      </c>
      <c r="C2796" s="185" t="e">
        <f t="shared" si="87"/>
        <v>#N/A</v>
      </c>
      <c r="D2796" s="409" t="s">
        <v>1709</v>
      </c>
      <c r="E2796" s="409" t="s">
        <v>2141</v>
      </c>
      <c r="F2796" s="409" t="s">
        <v>2304</v>
      </c>
      <c r="G2796" s="409" t="s">
        <v>2615</v>
      </c>
      <c r="H2796" s="465" t="e">
        <v>#N/A</v>
      </c>
      <c r="I2796" s="465" t="e">
        <v>#N/A</v>
      </c>
      <c r="J2796" s="465" t="e">
        <v>#N/A</v>
      </c>
      <c r="K2796" s="465" t="e">
        <v>#N/A</v>
      </c>
      <c r="L2796" s="464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str">
        <f t="shared" si="86"/>
        <v>SEVROLL Wilson B - kompletná sada políc</v>
      </c>
      <c r="C2797" s="185" t="e">
        <f t="shared" si="87"/>
        <v>#N/A</v>
      </c>
      <c r="D2797" s="409" t="s">
        <v>1710</v>
      </c>
      <c r="E2797" s="409" t="s">
        <v>2142</v>
      </c>
      <c r="F2797" s="409" t="s">
        <v>2305</v>
      </c>
      <c r="G2797" s="409" t="s">
        <v>2616</v>
      </c>
      <c r="H2797" s="465" t="e">
        <v>#N/A</v>
      </c>
      <c r="I2797" s="465" t="e">
        <v>#N/A</v>
      </c>
      <c r="J2797" s="465" t="e">
        <v>#N/A</v>
      </c>
      <c r="K2797" s="465" t="e">
        <v>#N/A</v>
      </c>
      <c r="L2797" s="464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str">
        <f t="shared" si="86"/>
        <v>SEVROLL Wilson C - kompletná sada políc</v>
      </c>
      <c r="C2798" s="185" t="e">
        <f t="shared" si="87"/>
        <v>#N/A</v>
      </c>
      <c r="D2798" s="409" t="s">
        <v>1711</v>
      </c>
      <c r="E2798" s="409" t="s">
        <v>2143</v>
      </c>
      <c r="F2798" s="409" t="s">
        <v>2306</v>
      </c>
      <c r="G2798" s="409" t="s">
        <v>2617</v>
      </c>
      <c r="H2798" s="465" t="e">
        <v>#N/A</v>
      </c>
      <c r="I2798" s="465" t="e">
        <v>#N/A</v>
      </c>
      <c r="J2798" s="465" t="e">
        <v>#N/A</v>
      </c>
      <c r="K2798" s="465" t="e">
        <v>#N/A</v>
      </c>
      <c r="L2798" s="464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str">
        <f t="shared" si="86"/>
        <v>SEVROLL Wilson D - kompletná sada políc</v>
      </c>
      <c r="C2799" s="185" t="e">
        <f t="shared" si="87"/>
        <v>#N/A</v>
      </c>
      <c r="D2799" s="409" t="s">
        <v>1712</v>
      </c>
      <c r="E2799" s="409" t="s">
        <v>2144</v>
      </c>
      <c r="F2799" s="409" t="s">
        <v>2307</v>
      </c>
      <c r="G2799" s="409" t="s">
        <v>2618</v>
      </c>
      <c r="H2799" s="465" t="e">
        <v>#N/A</v>
      </c>
      <c r="I2799" s="465" t="e">
        <v>#N/A</v>
      </c>
      <c r="J2799" s="465" t="e">
        <v>#N/A</v>
      </c>
      <c r="K2799" s="465" t="e">
        <v>#N/A</v>
      </c>
      <c r="L2799" s="464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str">
        <f t="shared" si="86"/>
        <v>SEVROLL Wilson E - kompletná sada políc</v>
      </c>
      <c r="C2800" s="185" t="e">
        <f t="shared" si="87"/>
        <v>#N/A</v>
      </c>
      <c r="D2800" s="409" t="s">
        <v>1713</v>
      </c>
      <c r="E2800" s="409" t="s">
        <v>2145</v>
      </c>
      <c r="F2800" s="409" t="s">
        <v>2308</v>
      </c>
      <c r="G2800" s="409" t="s">
        <v>2619</v>
      </c>
      <c r="H2800" s="465" t="e">
        <v>#N/A</v>
      </c>
      <c r="I2800" s="465" t="e">
        <v>#N/A</v>
      </c>
      <c r="J2800" s="465" t="e">
        <v>#N/A</v>
      </c>
      <c r="K2800" s="465" t="e">
        <v>#N/A</v>
      </c>
      <c r="L2800" s="464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str">
        <f t="shared" si="86"/>
        <v>SEVROLL Wilson F - kompletná sada políc</v>
      </c>
      <c r="C2801" s="185" t="e">
        <f t="shared" si="87"/>
        <v>#N/A</v>
      </c>
      <c r="D2801" s="409" t="s">
        <v>1714</v>
      </c>
      <c r="E2801" s="409" t="s">
        <v>2146</v>
      </c>
      <c r="F2801" s="409" t="s">
        <v>2309</v>
      </c>
      <c r="G2801" s="409" t="s">
        <v>2620</v>
      </c>
      <c r="H2801" s="465" t="e">
        <v>#N/A</v>
      </c>
      <c r="I2801" s="465" t="e">
        <v>#N/A</v>
      </c>
      <c r="J2801" s="465" t="e">
        <v>#N/A</v>
      </c>
      <c r="K2801" s="465" t="e">
        <v>#N/A</v>
      </c>
      <c r="L2801" s="464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úchytová lišta 2,7m oliva tmavá kartáčovaná</v>
      </c>
      <c r="C2802" s="185">
        <f t="shared" si="87"/>
        <v>25.169070000000001</v>
      </c>
      <c r="D2802" s="409" t="s">
        <v>2953</v>
      </c>
      <c r="E2802" s="409" t="s">
        <v>4658</v>
      </c>
      <c r="F2802" s="409" t="s">
        <v>2953</v>
      </c>
      <c r="G2802" s="409" t="s">
        <v>4659</v>
      </c>
      <c r="H2802" s="465">
        <v>699.86431000000005</v>
      </c>
      <c r="I2802" s="465">
        <v>25.169070000000001</v>
      </c>
      <c r="J2802" s="465">
        <v>90.198599999999999</v>
      </c>
      <c r="K2802" s="465">
        <v>10029.385200000001</v>
      </c>
      <c r="L2802" s="464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úchytová lišta 2,7m čierna  kartáčovaná</v>
      </c>
      <c r="C2803" s="185">
        <f t="shared" si="87"/>
        <v>25.169070000000001</v>
      </c>
      <c r="D2803" s="409" t="s">
        <v>2954</v>
      </c>
      <c r="E2803" s="409" t="s">
        <v>5242</v>
      </c>
      <c r="F2803" s="409" t="s">
        <v>5243</v>
      </c>
      <c r="G2803" s="409" t="s">
        <v>5244</v>
      </c>
      <c r="H2803" s="465">
        <v>699.86431000000005</v>
      </c>
      <c r="I2803" s="465">
        <v>25.169070000000001</v>
      </c>
      <c r="J2803" s="465">
        <v>90.198599999999999</v>
      </c>
      <c r="K2803" s="465">
        <v>10029.385200000001</v>
      </c>
      <c r="L2803" s="464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spodné vedenie 2,35m oliva tmavá kartáčovaná</v>
      </c>
      <c r="C2804" s="185">
        <f t="shared" si="87"/>
        <v>21.464729999999999</v>
      </c>
      <c r="D2804" s="409" t="s">
        <v>2955</v>
      </c>
      <c r="E2804" s="409" t="s">
        <v>5174</v>
      </c>
      <c r="F2804" s="409" t="s">
        <v>5175</v>
      </c>
      <c r="G2804" s="409" t="s">
        <v>5176</v>
      </c>
      <c r="H2804" s="465">
        <v>597.09209999999996</v>
      </c>
      <c r="I2804" s="465">
        <v>21.464729999999999</v>
      </c>
      <c r="J2804" s="465">
        <v>76.367400000000004</v>
      </c>
      <c r="K2804" s="465">
        <v>8556.6110499999995</v>
      </c>
      <c r="L2804" s="464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spodné vedenie  2,35m čierna  kartáčovaná</v>
      </c>
      <c r="C2805" s="185">
        <f t="shared" si="87"/>
        <v>21.464729999999999</v>
      </c>
      <c r="D2805" s="409" t="s">
        <v>2956</v>
      </c>
      <c r="E2805" s="409" t="s">
        <v>5168</v>
      </c>
      <c r="F2805" s="409" t="s">
        <v>5169</v>
      </c>
      <c r="G2805" s="409" t="s">
        <v>5170</v>
      </c>
      <c r="H2805" s="465">
        <v>597.09209999999996</v>
      </c>
      <c r="I2805" s="465">
        <v>21.464729999999999</v>
      </c>
      <c r="J2805" s="465">
        <v>76.367400000000004</v>
      </c>
      <c r="K2805" s="465">
        <v>8556.6110499999995</v>
      </c>
      <c r="L2805" s="464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spodné vedenie 4,05m oliva tmavá kartáčovaná</v>
      </c>
      <c r="C2806" s="185">
        <f t="shared" si="87"/>
        <v>37.00414</v>
      </c>
      <c r="D2806" s="409" t="s">
        <v>2957</v>
      </c>
      <c r="E2806" s="409" t="s">
        <v>5207</v>
      </c>
      <c r="F2806" s="409" t="s">
        <v>5208</v>
      </c>
      <c r="G2806" s="409" t="s">
        <v>5209</v>
      </c>
      <c r="H2806" s="465">
        <v>1029.1696199999999</v>
      </c>
      <c r="I2806" s="465">
        <v>37.00414</v>
      </c>
      <c r="J2806" s="465">
        <v>131.8554</v>
      </c>
      <c r="K2806" s="465">
        <v>14748.48552</v>
      </c>
      <c r="L2806" s="464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spodné vedenie  4,05m čierna  kartáčovaná</v>
      </c>
      <c r="C2807" s="185">
        <f t="shared" si="87"/>
        <v>37.00414</v>
      </c>
      <c r="D2807" s="409" t="s">
        <v>2958</v>
      </c>
      <c r="E2807" s="409" t="s">
        <v>5201</v>
      </c>
      <c r="F2807" s="409" t="s">
        <v>5202</v>
      </c>
      <c r="G2807" s="409" t="s">
        <v>5203</v>
      </c>
      <c r="H2807" s="465">
        <v>1029.1696199999999</v>
      </c>
      <c r="I2807" s="465">
        <v>37.00414</v>
      </c>
      <c r="J2807" s="465">
        <v>131.8554</v>
      </c>
      <c r="K2807" s="465">
        <v>14748.48552</v>
      </c>
      <c r="L2807" s="464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spodné vedenie 1,7m oliva tmavá kartáčovaná</v>
      </c>
      <c r="C2808" s="185">
        <f t="shared" si="87"/>
        <v>15.535489999999999</v>
      </c>
      <c r="D2808" s="409" t="s">
        <v>2959</v>
      </c>
      <c r="E2808" s="409" t="s">
        <v>5157</v>
      </c>
      <c r="F2808" s="409" t="s">
        <v>5158</v>
      </c>
      <c r="G2808" s="409" t="s">
        <v>5159</v>
      </c>
      <c r="H2808" s="465">
        <v>432.07754999999997</v>
      </c>
      <c r="I2808" s="465">
        <v>15.535489999999999</v>
      </c>
      <c r="J2808" s="465">
        <v>55.386000000000003</v>
      </c>
      <c r="K2808" s="465">
        <v>6191.8748900000001</v>
      </c>
      <c r="L2808" s="464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spodné vedenie  1,7m čierna  kartáčovaná</v>
      </c>
      <c r="C2809" s="185">
        <f t="shared" si="87"/>
        <v>15.535489999999999</v>
      </c>
      <c r="D2809" s="409" t="s">
        <v>2960</v>
      </c>
      <c r="E2809" s="409" t="s">
        <v>5148</v>
      </c>
      <c r="F2809" s="409" t="s">
        <v>5149</v>
      </c>
      <c r="G2809" s="409" t="s">
        <v>5150</v>
      </c>
      <c r="H2809" s="465">
        <v>432.07754999999997</v>
      </c>
      <c r="I2809" s="465">
        <v>15.535489999999999</v>
      </c>
      <c r="J2809" s="465">
        <v>55.386000000000003</v>
      </c>
      <c r="K2809" s="465">
        <v>6191.8748900000001</v>
      </c>
      <c r="L2809" s="464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spodné vedenie 3m oliva tmavá kartáčovaná</v>
      </c>
      <c r="C2810" s="185">
        <f t="shared" si="87"/>
        <v>27.401800000000001</v>
      </c>
      <c r="D2810" s="409" t="s">
        <v>2961</v>
      </c>
      <c r="E2810" s="409" t="s">
        <v>5192</v>
      </c>
      <c r="F2810" s="409" t="s">
        <v>5193</v>
      </c>
      <c r="G2810" s="409" t="s">
        <v>5194</v>
      </c>
      <c r="H2810" s="465">
        <v>762.10661000000005</v>
      </c>
      <c r="I2810" s="465">
        <v>27.401800000000001</v>
      </c>
      <c r="J2810" s="465">
        <v>97.675200000000004</v>
      </c>
      <c r="K2810" s="465">
        <v>10921.346809999999</v>
      </c>
      <c r="L2810" s="464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horná vodiaca lišta 1,7m oliva tmavá kartáčovaná</v>
      </c>
      <c r="C2811" s="185">
        <f t="shared" si="87"/>
        <v>13.11539</v>
      </c>
      <c r="D2811" s="409" t="s">
        <v>2962</v>
      </c>
      <c r="E2811" s="409" t="s">
        <v>5313</v>
      </c>
      <c r="F2811" s="409" t="s">
        <v>5314</v>
      </c>
      <c r="G2811" s="409" t="s">
        <v>5315</v>
      </c>
      <c r="H2811" s="465">
        <v>364.76897000000002</v>
      </c>
      <c r="I2811" s="465">
        <v>13.11539</v>
      </c>
      <c r="J2811" s="465">
        <v>63.382800000000003</v>
      </c>
      <c r="K2811" s="465">
        <v>5227.3111900000004</v>
      </c>
      <c r="L2811" s="464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horná vodiaca lišta 1,7m čierna kartáčovaná</v>
      </c>
      <c r="C2812" s="185">
        <f t="shared" si="87"/>
        <v>13.11539</v>
      </c>
      <c r="D2812" s="409" t="s">
        <v>2963</v>
      </c>
      <c r="E2812" s="409" t="s">
        <v>5305</v>
      </c>
      <c r="F2812" s="409" t="s">
        <v>5306</v>
      </c>
      <c r="G2812" s="409" t="s">
        <v>5307</v>
      </c>
      <c r="H2812" s="465">
        <v>364.76897000000002</v>
      </c>
      <c r="I2812" s="465">
        <v>13.11539</v>
      </c>
      <c r="J2812" s="465">
        <v>63.382800000000003</v>
      </c>
      <c r="K2812" s="465">
        <v>5227.3111900000004</v>
      </c>
      <c r="L2812" s="464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horná vodiaca lišta 2,35m oliva tmavá kartáčovaná</v>
      </c>
      <c r="C2813" s="185">
        <f t="shared" si="87"/>
        <v>18.189800000000002</v>
      </c>
      <c r="D2813" s="409" t="s">
        <v>2964</v>
      </c>
      <c r="E2813" s="409" t="s">
        <v>5329</v>
      </c>
      <c r="F2813" s="409" t="s">
        <v>5330</v>
      </c>
      <c r="G2813" s="409" t="s">
        <v>5331</v>
      </c>
      <c r="H2813" s="465">
        <v>505.89983999999998</v>
      </c>
      <c r="I2813" s="465">
        <v>18.189800000000002</v>
      </c>
      <c r="J2813" s="465">
        <v>87.638400000000004</v>
      </c>
      <c r="K2813" s="465">
        <v>7249.78305</v>
      </c>
      <c r="L2813" s="464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VODIACA LIŠTA 2,35M čierna KARTÁČ</v>
      </c>
      <c r="C2814" s="185">
        <f t="shared" si="87"/>
        <v>18.189800000000002</v>
      </c>
      <c r="D2814" s="409" t="s">
        <v>2965</v>
      </c>
      <c r="E2814" s="409" t="s">
        <v>5322</v>
      </c>
      <c r="F2814" s="409" t="s">
        <v>1241</v>
      </c>
      <c r="G2814" s="409" t="s">
        <v>5323</v>
      </c>
      <c r="H2814" s="465">
        <v>505.89983999999998</v>
      </c>
      <c r="I2814" s="465">
        <v>18.189800000000002</v>
      </c>
      <c r="J2814" s="465">
        <v>87.638400000000004</v>
      </c>
      <c r="K2814" s="465">
        <v>7249.78305</v>
      </c>
      <c r="L2814" s="464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horná vodiaca lišta 3m oliva tmavá kartáčovaná</v>
      </c>
      <c r="C2815" s="185">
        <f t="shared" si="87"/>
        <v>23.186140000000002</v>
      </c>
      <c r="D2815" s="409" t="s">
        <v>2966</v>
      </c>
      <c r="E2815" s="409" t="s">
        <v>5348</v>
      </c>
      <c r="F2815" s="409" t="s">
        <v>5349</v>
      </c>
      <c r="G2815" s="409" t="s">
        <v>5350</v>
      </c>
      <c r="H2815" s="465">
        <v>644.85945000000004</v>
      </c>
      <c r="I2815" s="465">
        <v>23.186140000000002</v>
      </c>
      <c r="J2815" s="465">
        <v>111.41459999999999</v>
      </c>
      <c r="K2815" s="465">
        <v>9241.13969</v>
      </c>
      <c r="L2815" s="464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VODIACA LIŠTA 3M čierna KARTÁČ.</v>
      </c>
      <c r="C2816" s="185">
        <f t="shared" si="87"/>
        <v>23.186140000000002</v>
      </c>
      <c r="D2816" s="409" t="s">
        <v>2967</v>
      </c>
      <c r="E2816" s="409" t="s">
        <v>5341</v>
      </c>
      <c r="F2816" s="409" t="s">
        <v>1239</v>
      </c>
      <c r="G2816" s="409" t="s">
        <v>5342</v>
      </c>
      <c r="H2816" s="465">
        <v>644.85945000000004</v>
      </c>
      <c r="I2816" s="465">
        <v>23.186140000000002</v>
      </c>
      <c r="J2816" s="465">
        <v>111.41459999999999</v>
      </c>
      <c r="K2816" s="465">
        <v>9241.13969</v>
      </c>
      <c r="L2816" s="464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spojovacia lišta H10 3m oliva tmavá kartáčovaná</v>
      </c>
      <c r="C2817" s="185">
        <f t="shared" si="87"/>
        <v>21.624780000000001</v>
      </c>
      <c r="D2817" s="409" t="s">
        <v>2968</v>
      </c>
      <c r="E2817" s="409" t="s">
        <v>4505</v>
      </c>
      <c r="F2817" s="409" t="s">
        <v>4506</v>
      </c>
      <c r="G2817" s="409" t="s">
        <v>4507</v>
      </c>
      <c r="H2817" s="465">
        <v>601.43457000000001</v>
      </c>
      <c r="I2817" s="465">
        <v>21.624780000000001</v>
      </c>
      <c r="J2817" s="465">
        <v>74.362139999999997</v>
      </c>
      <c r="K2817" s="465">
        <v>8618.8407000000007</v>
      </c>
      <c r="L2817" s="464" t="s">
        <v>539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spoj.lišta H10 3m čierna kartáč</v>
      </c>
      <c r="C2818" s="185">
        <f t="shared" si="87"/>
        <v>21.624780000000001</v>
      </c>
      <c r="D2818" s="409" t="s">
        <v>2969</v>
      </c>
      <c r="E2818" s="409" t="s">
        <v>4543</v>
      </c>
      <c r="F2818" s="409" t="s">
        <v>1207</v>
      </c>
      <c r="G2818" s="409" t="s">
        <v>4544</v>
      </c>
      <c r="H2818" s="465">
        <v>601.43457000000001</v>
      </c>
      <c r="I2818" s="465">
        <v>21.624780000000001</v>
      </c>
      <c r="J2818" s="465">
        <v>74.362139999999997</v>
      </c>
      <c r="K2818" s="465">
        <v>8618.8407000000007</v>
      </c>
      <c r="L2818" s="464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horné vedenie 1,7m oliva tmavá kartáčovaná</v>
      </c>
      <c r="C2819" s="185">
        <f t="shared" si="87"/>
        <v>24.331130000000002</v>
      </c>
      <c r="D2819" s="409" t="s">
        <v>2970</v>
      </c>
      <c r="E2819" s="409" t="s">
        <v>5255</v>
      </c>
      <c r="F2819" s="409" t="s">
        <v>5256</v>
      </c>
      <c r="G2819" s="409" t="s">
        <v>5257</v>
      </c>
      <c r="H2819" s="465">
        <v>676.70438000000001</v>
      </c>
      <c r="I2819" s="465">
        <v>24.331130000000002</v>
      </c>
      <c r="J2819" s="465">
        <v>84.170400000000001</v>
      </c>
      <c r="K2819" s="465">
        <v>9697.4924900000005</v>
      </c>
      <c r="L2819" s="464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Gemini horné vedenie 1,7m čierna kar</v>
      </c>
      <c r="C2820" s="185">
        <f t="shared" ref="C2820:C2883" si="89">IF($A$2=1,H2820,IF($A$2=2,I2820,IF($A$2=3,J2820,IF($A$2=4,K2820,IF($A$2&gt;4,O2820,"zadat jazyk")))))</f>
        <v>24.331130000000002</v>
      </c>
      <c r="D2820" s="409" t="s">
        <v>2971</v>
      </c>
      <c r="E2820" s="409" t="s">
        <v>5250</v>
      </c>
      <c r="F2820" s="409" t="s">
        <v>1166</v>
      </c>
      <c r="G2820" s="409" t="s">
        <v>5251</v>
      </c>
      <c r="H2820" s="465">
        <v>676.70438000000001</v>
      </c>
      <c r="I2820" s="465">
        <v>24.331130000000002</v>
      </c>
      <c r="J2820" s="465">
        <v>84.170400000000001</v>
      </c>
      <c r="K2820" s="465">
        <v>9697.4924900000005</v>
      </c>
      <c r="L2820" s="464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horné vedenie 2,35m oliva tmavá kartáčovaná</v>
      </c>
      <c r="C2821" s="185">
        <f t="shared" si="89"/>
        <v>33.621200000000002</v>
      </c>
      <c r="D2821" s="409" t="s">
        <v>2972</v>
      </c>
      <c r="E2821" s="409" t="s">
        <v>5266</v>
      </c>
      <c r="F2821" s="409" t="s">
        <v>5267</v>
      </c>
      <c r="G2821" s="409" t="s">
        <v>5268</v>
      </c>
      <c r="H2821" s="465">
        <v>935.08237999999994</v>
      </c>
      <c r="I2821" s="465">
        <v>33.621200000000002</v>
      </c>
      <c r="J2821" s="465">
        <v>116.5962</v>
      </c>
      <c r="K2821" s="465">
        <v>13400.17109</v>
      </c>
      <c r="L2821" s="464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Gemini horné vedenie 2,35m čierna ka</v>
      </c>
      <c r="C2822" s="185">
        <f t="shared" si="89"/>
        <v>33.621200000000002</v>
      </c>
      <c r="D2822" s="409" t="s">
        <v>2973</v>
      </c>
      <c r="E2822" s="409" t="s">
        <v>5261</v>
      </c>
      <c r="F2822" s="409" t="s">
        <v>1250</v>
      </c>
      <c r="G2822" s="409" t="s">
        <v>5262</v>
      </c>
      <c r="H2822" s="465">
        <v>935.08237999999994</v>
      </c>
      <c r="I2822" s="465">
        <v>33.621200000000002</v>
      </c>
      <c r="J2822" s="465">
        <v>116.5962</v>
      </c>
      <c r="K2822" s="465">
        <v>13400.17109</v>
      </c>
      <c r="L2822" s="464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horné vedenie 3m oliva tmavá kartáčovaná</v>
      </c>
      <c r="C2823" s="185">
        <f t="shared" si="89"/>
        <v>42.911270000000002</v>
      </c>
      <c r="D2823" s="409" t="s">
        <v>2974</v>
      </c>
      <c r="E2823" s="409" t="s">
        <v>5277</v>
      </c>
      <c r="F2823" s="409" t="s">
        <v>5278</v>
      </c>
      <c r="G2823" s="409" t="s">
        <v>5279</v>
      </c>
      <c r="H2823" s="465">
        <v>1193.4604200000001</v>
      </c>
      <c r="I2823" s="465">
        <v>42.911270000000002</v>
      </c>
      <c r="J2823" s="465">
        <v>148.83840000000001</v>
      </c>
      <c r="K2823" s="465">
        <v>17102.8501</v>
      </c>
      <c r="L2823" s="464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Gemini horné vedenie 3m čierna kartá</v>
      </c>
      <c r="C2824" s="185">
        <f t="shared" si="89"/>
        <v>42.911270000000002</v>
      </c>
      <c r="D2824" s="409" t="s">
        <v>2975</v>
      </c>
      <c r="E2824" s="409" t="s">
        <v>5272</v>
      </c>
      <c r="F2824" s="409" t="s">
        <v>1249</v>
      </c>
      <c r="G2824" s="409" t="s">
        <v>5273</v>
      </c>
      <c r="H2824" s="465">
        <v>1193.4604200000001</v>
      </c>
      <c r="I2824" s="465">
        <v>42.911270000000002</v>
      </c>
      <c r="J2824" s="465">
        <v>148.83840000000001</v>
      </c>
      <c r="K2824" s="465">
        <v>17102.8501</v>
      </c>
      <c r="L2824" s="464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horné vedenie 4,05m oliva tmavá kartáčovaná</v>
      </c>
      <c r="C2825" s="185">
        <f t="shared" si="89"/>
        <v>57.926310000000001</v>
      </c>
      <c r="D2825" s="409" t="s">
        <v>2976</v>
      </c>
      <c r="E2825" s="409" t="s">
        <v>5288</v>
      </c>
      <c r="F2825" s="409" t="s">
        <v>5289</v>
      </c>
      <c r="G2825" s="409" t="s">
        <v>5290</v>
      </c>
      <c r="H2825" s="465">
        <v>1611.0630100000001</v>
      </c>
      <c r="I2825" s="465">
        <v>57.926310000000001</v>
      </c>
      <c r="J2825" s="465">
        <v>200.9196</v>
      </c>
      <c r="K2825" s="465">
        <v>23087.291969999998</v>
      </c>
      <c r="L2825" s="464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Gemini horné vedenie 4,05m čierna ka</v>
      </c>
      <c r="C2826" s="185">
        <f t="shared" si="89"/>
        <v>57.926310000000001</v>
      </c>
      <c r="D2826" s="409" t="s">
        <v>2977</v>
      </c>
      <c r="E2826" s="409" t="s">
        <v>5283</v>
      </c>
      <c r="F2826" s="409" t="s">
        <v>1248</v>
      </c>
      <c r="G2826" s="409" t="s">
        <v>5284</v>
      </c>
      <c r="H2826" s="465">
        <v>1611.0630100000001</v>
      </c>
      <c r="I2826" s="465">
        <v>57.926310000000001</v>
      </c>
      <c r="J2826" s="465">
        <v>200.9196</v>
      </c>
      <c r="K2826" s="465">
        <v>23087.291969999998</v>
      </c>
      <c r="L2826" s="464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spodná krycia lišta 1,7m 10mm oliva tmavá kartáčovaná</v>
      </c>
      <c r="C2827" s="185">
        <f t="shared" si="89"/>
        <v>22.27535</v>
      </c>
      <c r="D2827" s="409" t="s">
        <v>2978</v>
      </c>
      <c r="E2827" s="409" t="s">
        <v>4531</v>
      </c>
      <c r="F2827" s="409" t="s">
        <v>4532</v>
      </c>
      <c r="G2827" s="409" t="s">
        <v>4533</v>
      </c>
      <c r="H2827" s="465">
        <v>619.52828</v>
      </c>
      <c r="I2827" s="465">
        <v>22.27535</v>
      </c>
      <c r="J2827" s="465">
        <v>76.599260000000001</v>
      </c>
      <c r="K2827" s="465">
        <v>8878.1321399999997</v>
      </c>
      <c r="L2827" s="464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spodná krycia lišta 1,7m 10mm čierna kartáčovaná</v>
      </c>
      <c r="C2828" s="185">
        <f t="shared" si="89"/>
        <v>22.27535</v>
      </c>
      <c r="D2828" s="409" t="s">
        <v>2979</v>
      </c>
      <c r="E2828" s="409" t="s">
        <v>5491</v>
      </c>
      <c r="F2828" s="409" t="s">
        <v>5492</v>
      </c>
      <c r="G2828" s="409" t="s">
        <v>5493</v>
      </c>
      <c r="H2828" s="465">
        <v>619.52828</v>
      </c>
      <c r="I2828" s="465">
        <v>22.27535</v>
      </c>
      <c r="J2828" s="465">
        <v>76.599260000000001</v>
      </c>
      <c r="K2828" s="465">
        <v>8878.1321399999997</v>
      </c>
      <c r="L2828" s="464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sp.kryc.lišta 2,35m oliva tm.kartáč</v>
      </c>
      <c r="C2829" s="185">
        <f t="shared" si="89"/>
        <v>30.836780000000001</v>
      </c>
      <c r="D2829" s="409" t="s">
        <v>2980</v>
      </c>
      <c r="E2829" s="409" t="s">
        <v>5574</v>
      </c>
      <c r="F2829" s="409" t="s">
        <v>1102</v>
      </c>
      <c r="G2829" s="409" t="s">
        <v>5575</v>
      </c>
      <c r="H2829" s="465">
        <v>857.64137000000005</v>
      </c>
      <c r="I2829" s="465">
        <v>30.836780000000001</v>
      </c>
      <c r="J2829" s="465">
        <v>106.03986999999999</v>
      </c>
      <c r="K2829" s="465">
        <v>12290.40488</v>
      </c>
      <c r="L2829" s="464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spod.krycia lišta 2,35m, 10mm čierna kartá</v>
      </c>
      <c r="C2830" s="185">
        <f t="shared" si="89"/>
        <v>30.836780000000001</v>
      </c>
      <c r="D2830" s="409" t="s">
        <v>2981</v>
      </c>
      <c r="E2830" s="409" t="s">
        <v>5518</v>
      </c>
      <c r="F2830" s="409" t="s">
        <v>5519</v>
      </c>
      <c r="G2830" s="409" t="s">
        <v>5520</v>
      </c>
      <c r="H2830" s="465">
        <v>857.64137000000005</v>
      </c>
      <c r="I2830" s="465">
        <v>30.836780000000001</v>
      </c>
      <c r="J2830" s="465">
        <v>106.03986999999999</v>
      </c>
      <c r="K2830" s="465">
        <v>12290.40488</v>
      </c>
      <c r="L2830" s="464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spodná krycia lišta 3m 10mm oliva tmavá kartáčovaná</v>
      </c>
      <c r="C2831" s="185">
        <f t="shared" si="89"/>
        <v>39.398220000000002</v>
      </c>
      <c r="D2831" s="409" t="s">
        <v>2982</v>
      </c>
      <c r="E2831" s="409" t="s">
        <v>4868</v>
      </c>
      <c r="F2831" s="409" t="s">
        <v>4869</v>
      </c>
      <c r="G2831" s="409" t="s">
        <v>4870</v>
      </c>
      <c r="H2831" s="465">
        <v>1095.75443</v>
      </c>
      <c r="I2831" s="465">
        <v>39.398220000000002</v>
      </c>
      <c r="J2831" s="465">
        <v>135.48047</v>
      </c>
      <c r="K2831" s="465">
        <v>15702.6772</v>
      </c>
      <c r="L2831" s="464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spod.krycia lišta 3m 10mm čierna kartáč</v>
      </c>
      <c r="C2832" s="185">
        <f t="shared" si="89"/>
        <v>39.398220000000002</v>
      </c>
      <c r="D2832" s="409" t="s">
        <v>2983</v>
      </c>
      <c r="E2832" s="409" t="s">
        <v>5524</v>
      </c>
      <c r="F2832" s="409" t="s">
        <v>5525</v>
      </c>
      <c r="G2832" s="409" t="s">
        <v>5526</v>
      </c>
      <c r="H2832" s="465">
        <v>1095.75443</v>
      </c>
      <c r="I2832" s="465">
        <v>39.398220000000002</v>
      </c>
      <c r="J2832" s="465">
        <v>135.48047</v>
      </c>
      <c r="K2832" s="465">
        <v>15702.6772</v>
      </c>
      <c r="L2832" s="464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spodné vedenie  3m čierna  kartáčovaná</v>
      </c>
      <c r="C2833" s="185">
        <f t="shared" si="89"/>
        <v>27.401800000000001</v>
      </c>
      <c r="D2833" s="409" t="s">
        <v>2984</v>
      </c>
      <c r="E2833" s="409" t="s">
        <v>5186</v>
      </c>
      <c r="F2833" s="409" t="s">
        <v>5187</v>
      </c>
      <c r="G2833" s="409" t="s">
        <v>5188</v>
      </c>
      <c r="H2833" s="465">
        <v>762.10661000000005</v>
      </c>
      <c r="I2833" s="465">
        <v>27.401800000000001</v>
      </c>
      <c r="J2833" s="465">
        <v>97.675200000000004</v>
      </c>
      <c r="K2833" s="465">
        <v>10921.346809999999</v>
      </c>
      <c r="L2833" s="464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Exclusive horné vedenie 1,2m oliva</v>
      </c>
      <c r="C2834" s="185">
        <f t="shared" si="89"/>
        <v>15.795719999999999</v>
      </c>
      <c r="D2834" s="409" t="s">
        <v>2985</v>
      </c>
      <c r="E2834" s="409" t="s">
        <v>4277</v>
      </c>
      <c r="F2834" s="409" t="s">
        <v>1175</v>
      </c>
      <c r="G2834" s="409" t="s">
        <v>4278</v>
      </c>
      <c r="H2834" s="465">
        <v>418.77152000000001</v>
      </c>
      <c r="I2834" s="465">
        <v>15.795719999999999</v>
      </c>
      <c r="J2834" s="465">
        <v>53.890560000000001</v>
      </c>
      <c r="K2834" s="465">
        <v>6117.1738100000002</v>
      </c>
      <c r="L2834" s="464" t="s">
        <v>539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Star úchytová lišta 2,7m strieborná</v>
      </c>
      <c r="C2835" s="185">
        <f t="shared" si="89"/>
        <v>26.52224</v>
      </c>
      <c r="D2835" s="409" t="s">
        <v>2986</v>
      </c>
      <c r="E2835" s="409" t="s">
        <v>4739</v>
      </c>
      <c r="F2835" s="409" t="s">
        <v>1098</v>
      </c>
      <c r="G2835" s="409" t="s">
        <v>4740</v>
      </c>
      <c r="H2835" s="465">
        <v>737.49919</v>
      </c>
      <c r="I2835" s="465">
        <v>26.52224</v>
      </c>
      <c r="J2835" s="465">
        <v>96.298199999999994</v>
      </c>
      <c r="K2835" s="465">
        <v>10568.71089</v>
      </c>
      <c r="L2835" s="464" t="s">
        <v>539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Star úchytová lišta 2,7m oliva</v>
      </c>
      <c r="C2836" s="185">
        <f t="shared" si="89"/>
        <v>33.152790000000003</v>
      </c>
      <c r="D2836" s="409" t="s">
        <v>2987</v>
      </c>
      <c r="E2836" s="409" t="s">
        <v>4799</v>
      </c>
      <c r="F2836" s="409" t="s">
        <v>1099</v>
      </c>
      <c r="G2836" s="409" t="s">
        <v>4800</v>
      </c>
      <c r="H2836" s="465">
        <v>922.05492000000004</v>
      </c>
      <c r="I2836" s="465">
        <v>33.152790000000003</v>
      </c>
      <c r="J2836" s="465">
        <v>114.00405000000001</v>
      </c>
      <c r="K2836" s="465">
        <v>13213.481320000001</v>
      </c>
      <c r="L2836" s="464" t="s">
        <v>539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tesnenie na sklo 10/6,4mm</v>
      </c>
      <c r="C2837" s="185">
        <f t="shared" si="89"/>
        <v>0.80669999999999997</v>
      </c>
      <c r="D2837" s="409" t="s">
        <v>2988</v>
      </c>
      <c r="E2837" s="409" t="s">
        <v>6177</v>
      </c>
      <c r="F2837" s="409" t="s">
        <v>1095</v>
      </c>
      <c r="G2837" s="409" t="s">
        <v>6178</v>
      </c>
      <c r="H2837" s="465">
        <v>23.80818</v>
      </c>
      <c r="I2837" s="465">
        <v>0.80669999999999997</v>
      </c>
      <c r="J2837" s="465">
        <v>2.7501000000000002</v>
      </c>
      <c r="K2837" s="465">
        <v>330.63301999999999</v>
      </c>
      <c r="L2837" s="464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koncovka k lište Hide N strieborná</v>
      </c>
      <c r="C2838" s="185">
        <f t="shared" si="89"/>
        <v>5.3866800000000001</v>
      </c>
      <c r="D2838" s="409" t="s">
        <v>2989</v>
      </c>
      <c r="E2838" s="409" t="s">
        <v>3770</v>
      </c>
      <c r="F2838" s="409" t="s">
        <v>3771</v>
      </c>
      <c r="G2838" s="409" t="s">
        <v>3772</v>
      </c>
      <c r="H2838" s="465">
        <v>149.81584000000001</v>
      </c>
      <c r="I2838" s="465">
        <v>5.3866800000000001</v>
      </c>
      <c r="J2838" s="465">
        <v>18.523420000000002</v>
      </c>
      <c r="K2838" s="465">
        <v>2146.9315799999999</v>
      </c>
      <c r="L2838" s="464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20208 brzda k lište Hide N a M</v>
      </c>
      <c r="C2839" s="185">
        <f t="shared" si="89"/>
        <v>2.70635</v>
      </c>
      <c r="D2839" s="409" t="s">
        <v>2990</v>
      </c>
      <c r="E2839" s="409" t="s">
        <v>6179</v>
      </c>
      <c r="F2839" s="409" t="s">
        <v>6180</v>
      </c>
      <c r="G2839" s="409" t="s">
        <v>6181</v>
      </c>
      <c r="H2839" s="465">
        <v>75.269779999999997</v>
      </c>
      <c r="I2839" s="465">
        <v>2.70635</v>
      </c>
      <c r="J2839" s="465">
        <v>12.1584</v>
      </c>
      <c r="K2839" s="465">
        <v>1078.6514</v>
      </c>
      <c r="L2839" s="464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Secret Line II rámová lišta 2,7m strieborná</v>
      </c>
      <c r="C2840" s="185">
        <f t="shared" si="89"/>
        <v>7.7287100000000004</v>
      </c>
      <c r="D2840" s="409" t="s">
        <v>2991</v>
      </c>
      <c r="E2840" s="409" t="s">
        <v>3896</v>
      </c>
      <c r="F2840" s="409" t="s">
        <v>3897</v>
      </c>
      <c r="G2840" s="409" t="s">
        <v>3898</v>
      </c>
      <c r="H2840" s="465">
        <v>214.95316</v>
      </c>
      <c r="I2840" s="465">
        <v>7.7287100000000004</v>
      </c>
      <c r="J2840" s="465">
        <v>26.948399999999999</v>
      </c>
      <c r="K2840" s="465">
        <v>3080.3800299999998</v>
      </c>
      <c r="L2840" s="464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Slim Line II rámová lišta 2,7m strieborná</v>
      </c>
      <c r="C2841" s="185">
        <f t="shared" si="89"/>
        <v>8.7175700000000003</v>
      </c>
      <c r="D2841" s="409" t="s">
        <v>2992</v>
      </c>
      <c r="E2841" s="409" t="s">
        <v>3970</v>
      </c>
      <c r="F2841" s="409" t="s">
        <v>3971</v>
      </c>
      <c r="G2841" s="409" t="s">
        <v>3972</v>
      </c>
      <c r="H2841" s="465">
        <v>242.45559</v>
      </c>
      <c r="I2841" s="465">
        <v>8.7175700000000003</v>
      </c>
      <c r="J2841" s="465">
        <v>30.498000000000001</v>
      </c>
      <c r="K2841" s="465">
        <v>3474.50279</v>
      </c>
      <c r="L2841" s="464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Line horné vedenie 2m alu surová</v>
      </c>
      <c r="C2842" s="185">
        <f t="shared" si="89"/>
        <v>70.313069999999996</v>
      </c>
      <c r="D2842" s="409" t="s">
        <v>2993</v>
      </c>
      <c r="E2842" s="409" t="s">
        <v>5059</v>
      </c>
      <c r="F2842" s="409" t="s">
        <v>1141</v>
      </c>
      <c r="G2842" s="409" t="s">
        <v>5060</v>
      </c>
      <c r="H2842" s="465">
        <v>1955.5670399999999</v>
      </c>
      <c r="I2842" s="465">
        <v>70.313069999999996</v>
      </c>
      <c r="J2842" s="465">
        <v>246.024</v>
      </c>
      <c r="K2842" s="465">
        <v>28024.196909999999</v>
      </c>
      <c r="L2842" s="464" t="s">
        <v>539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Line spodné vedenie 2m alu surová</v>
      </c>
      <c r="C2843" s="185">
        <f t="shared" si="89"/>
        <v>17.851500000000001</v>
      </c>
      <c r="D2843" s="409" t="s">
        <v>2994</v>
      </c>
      <c r="E2843" s="409" t="s">
        <v>4477</v>
      </c>
      <c r="F2843" s="409" t="s">
        <v>1138</v>
      </c>
      <c r="G2843" s="409" t="s">
        <v>4478</v>
      </c>
      <c r="H2843" s="465">
        <v>496.49113</v>
      </c>
      <c r="I2843" s="465">
        <v>17.851500000000001</v>
      </c>
      <c r="J2843" s="465">
        <v>62.423999999999999</v>
      </c>
      <c r="K2843" s="465">
        <v>7114.9517299999998</v>
      </c>
      <c r="L2843" s="464" t="s">
        <v>539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Line sada kovania pre 2 krídla-ľavá</v>
      </c>
      <c r="C2844" s="185">
        <f t="shared" si="89"/>
        <v>57.197670000000002</v>
      </c>
      <c r="D2844" s="409" t="s">
        <v>2995</v>
      </c>
      <c r="E2844" s="409" t="s">
        <v>5083</v>
      </c>
      <c r="F2844" s="409" t="s">
        <v>1140</v>
      </c>
      <c r="G2844" s="409" t="s">
        <v>5084</v>
      </c>
      <c r="H2844" s="465">
        <v>1590.7980700000001</v>
      </c>
      <c r="I2844" s="465">
        <v>57.197670000000002</v>
      </c>
      <c r="J2844" s="465">
        <v>368.93400000000003</v>
      </c>
      <c r="K2844" s="465">
        <v>22796.885719999998</v>
      </c>
      <c r="L2844" s="464" t="s">
        <v>539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Line sada kovania pre 2krídla- pravá</v>
      </c>
      <c r="C2845" s="185">
        <f t="shared" si="89"/>
        <v>57.197670000000002</v>
      </c>
      <c r="D2845" s="409" t="s">
        <v>2996</v>
      </c>
      <c r="E2845" s="409" t="s">
        <v>5085</v>
      </c>
      <c r="F2845" s="409" t="s">
        <v>1139</v>
      </c>
      <c r="G2845" s="409" t="s">
        <v>5086</v>
      </c>
      <c r="H2845" s="465">
        <v>1590.7980700000001</v>
      </c>
      <c r="I2845" s="465">
        <v>57.197670000000002</v>
      </c>
      <c r="J2845" s="465">
        <v>368.93400000000003</v>
      </c>
      <c r="K2845" s="465">
        <v>22796.885719999998</v>
      </c>
      <c r="L2845" s="464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obojstranná lepiaca páska 50mm 10</v>
      </c>
      <c r="C2846" s="185">
        <f t="shared" si="89"/>
        <v>4.9442899999999996</v>
      </c>
      <c r="D2846" s="409" t="s">
        <v>2997</v>
      </c>
      <c r="E2846" s="409" t="s">
        <v>3738</v>
      </c>
      <c r="F2846" s="409" t="s">
        <v>1121</v>
      </c>
      <c r="G2846" s="409" t="s">
        <v>3739</v>
      </c>
      <c r="H2846" s="465">
        <v>145.92113000000001</v>
      </c>
      <c r="I2846" s="465">
        <v>4.9442899999999996</v>
      </c>
      <c r="J2846" s="465">
        <v>16.541799999999999</v>
      </c>
      <c r="K2846" s="465">
        <v>2026.46074</v>
      </c>
      <c r="L2846" s="464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str">
        <f t="shared" si="88"/>
        <v>SEVROLL Herkules Glass sada kov.100kg + 2m</v>
      </c>
      <c r="C2847" s="185" t="e">
        <f t="shared" si="89"/>
        <v>#N/A</v>
      </c>
      <c r="D2847" s="409" t="s">
        <v>2998</v>
      </c>
      <c r="E2847" s="409" t="s">
        <v>5089</v>
      </c>
      <c r="F2847" s="409" t="s">
        <v>1161</v>
      </c>
      <c r="G2847" s="409" t="s">
        <v>5090</v>
      </c>
      <c r="H2847" s="465" t="e">
        <v>#N/A</v>
      </c>
      <c r="I2847" s="465" t="e">
        <v>#N/A</v>
      </c>
      <c r="J2847" s="465" t="e">
        <v>#N/A</v>
      </c>
      <c r="K2847" s="465" t="e">
        <v>#N/A</v>
      </c>
      <c r="L2847" s="464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str">
        <f t="shared" si="88"/>
        <v>SEVROLL Herkules tlmič 40-80kg</v>
      </c>
      <c r="C2848" s="185" t="e">
        <f t="shared" si="89"/>
        <v>#N/A</v>
      </c>
      <c r="D2848" s="409" t="s">
        <v>2999</v>
      </c>
      <c r="E2848" s="409" t="s">
        <v>5021</v>
      </c>
      <c r="F2848" s="409" t="s">
        <v>1146</v>
      </c>
      <c r="G2848" s="409" t="s">
        <v>5022</v>
      </c>
      <c r="H2848" s="465" t="e">
        <v>#N/A</v>
      </c>
      <c r="I2848" s="465" t="e">
        <v>#N/A</v>
      </c>
      <c r="J2848" s="465" t="e">
        <v>#N/A</v>
      </c>
      <c r="K2848" s="465" t="e">
        <v>#N/A</v>
      </c>
      <c r="L2848" s="464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Hide M spodné vedenie Hide M 3m stri</v>
      </c>
      <c r="C2849" s="185">
        <f t="shared" si="89"/>
        <v>8.7435899999999993</v>
      </c>
      <c r="D2849" s="409" t="s">
        <v>3000</v>
      </c>
      <c r="E2849" s="409" t="s">
        <v>4012</v>
      </c>
      <c r="F2849" s="409" t="s">
        <v>1244</v>
      </c>
      <c r="G2849" s="409" t="s">
        <v>4013</v>
      </c>
      <c r="H2849" s="465">
        <v>231.80763999999999</v>
      </c>
      <c r="I2849" s="465">
        <v>8.7435899999999993</v>
      </c>
      <c r="J2849" s="465">
        <v>29.8307</v>
      </c>
      <c r="K2849" s="465">
        <v>3386.1127700000002</v>
      </c>
      <c r="L2849" s="464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profil "U" Mini na DTD 18mm 3m strieborná</v>
      </c>
      <c r="C2850" s="185">
        <f t="shared" si="89"/>
        <v>3.7212299999999998</v>
      </c>
      <c r="D2850" s="409" t="s">
        <v>3001</v>
      </c>
      <c r="E2850" s="409" t="s">
        <v>3604</v>
      </c>
      <c r="F2850" s="409" t="s">
        <v>3605</v>
      </c>
      <c r="G2850" s="409" t="s">
        <v>3606</v>
      </c>
      <c r="H2850" s="465">
        <v>103.49594999999999</v>
      </c>
      <c r="I2850" s="465">
        <v>3.7212299999999998</v>
      </c>
      <c r="J2850" s="465">
        <v>12.79637</v>
      </c>
      <c r="K2850" s="465">
        <v>1483.1457600000001</v>
      </c>
      <c r="L2850" s="464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dorazový kartáč samolepiaci 6,7x4mm šedý</v>
      </c>
      <c r="C2851" s="185">
        <f t="shared" si="89"/>
        <v>0.26933000000000001</v>
      </c>
      <c r="D2851" s="409" t="s">
        <v>3002</v>
      </c>
      <c r="E2851" s="409" t="s">
        <v>5119</v>
      </c>
      <c r="F2851" s="409" t="s">
        <v>6182</v>
      </c>
      <c r="G2851" s="409" t="s">
        <v>6183</v>
      </c>
      <c r="H2851" s="465">
        <v>7.8468499999999999</v>
      </c>
      <c r="I2851" s="465">
        <v>0.26933000000000001</v>
      </c>
      <c r="J2851" s="465">
        <v>1.1577</v>
      </c>
      <c r="K2851" s="465">
        <v>106.65582000000001</v>
      </c>
      <c r="L2851" s="464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 úchytová lišta 2,70m strieborná</v>
      </c>
      <c r="C2852" s="185">
        <f t="shared" si="89"/>
        <v>7.6506400000000001</v>
      </c>
      <c r="D2852" s="409" t="s">
        <v>3003</v>
      </c>
      <c r="E2852" s="409" t="s">
        <v>3817</v>
      </c>
      <c r="F2852" s="409" t="s">
        <v>3818</v>
      </c>
      <c r="G2852" s="409" t="s">
        <v>3819</v>
      </c>
      <c r="H2852" s="465">
        <v>212.78190000000001</v>
      </c>
      <c r="I2852" s="465">
        <v>7.6506400000000001</v>
      </c>
      <c r="J2852" s="465">
        <v>29.4984</v>
      </c>
      <c r="K2852" s="465">
        <v>3049.2647999999999</v>
      </c>
      <c r="L2852" s="464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Beta 18 úchytová lišta 2,70m oliva</v>
      </c>
      <c r="C2853" s="185">
        <f t="shared" si="89"/>
        <v>9.5763200000000008</v>
      </c>
      <c r="D2853" s="409" t="s">
        <v>3004</v>
      </c>
      <c r="E2853" s="409" t="s">
        <v>3887</v>
      </c>
      <c r="F2853" s="409" t="s">
        <v>1188</v>
      </c>
      <c r="G2853" s="409" t="s">
        <v>3888</v>
      </c>
      <c r="H2853" s="465">
        <v>266.33926000000002</v>
      </c>
      <c r="I2853" s="465">
        <v>9.5763200000000008</v>
      </c>
      <c r="J2853" s="465">
        <v>32.986800000000002</v>
      </c>
      <c r="K2853" s="465">
        <v>3816.7671</v>
      </c>
      <c r="L2853" s="464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spojovacia lišta H10 Decor 3m strieb</v>
      </c>
      <c r="C2854" s="185">
        <f t="shared" si="89"/>
        <v>13.32357</v>
      </c>
      <c r="D2854" s="409" t="s">
        <v>3005</v>
      </c>
      <c r="E2854" s="409" t="s">
        <v>5576</v>
      </c>
      <c r="F2854" s="409" t="s">
        <v>1206</v>
      </c>
      <c r="G2854" s="409" t="s">
        <v>5577</v>
      </c>
      <c r="H2854" s="465">
        <v>370.55896000000001</v>
      </c>
      <c r="I2854" s="465">
        <v>13.32357</v>
      </c>
      <c r="J2854" s="465">
        <v>48.042000000000002</v>
      </c>
      <c r="K2854" s="465">
        <v>5310.2844699999996</v>
      </c>
      <c r="L2854" s="464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Exclusive sada kovania ZPE18</v>
      </c>
      <c r="C2855" s="185">
        <f t="shared" si="89"/>
        <v>39.320149999999998</v>
      </c>
      <c r="D2855" s="409" t="s">
        <v>3006</v>
      </c>
      <c r="E2855" s="409" t="s">
        <v>4918</v>
      </c>
      <c r="F2855" s="409" t="s">
        <v>1170</v>
      </c>
      <c r="G2855" s="409" t="s">
        <v>4919</v>
      </c>
      <c r="H2855" s="465">
        <v>1042.4444100000001</v>
      </c>
      <c r="I2855" s="465">
        <v>39.320149999999998</v>
      </c>
      <c r="J2855" s="465">
        <v>134.14932999999999</v>
      </c>
      <c r="K2855" s="465">
        <v>15227.429040000001</v>
      </c>
      <c r="L2855" s="464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Libra úchytová lišta 18mm 2,70m strieborná</v>
      </c>
      <c r="C2856" s="185">
        <f t="shared" si="89"/>
        <v>12.777100000000001</v>
      </c>
      <c r="D2856" s="409" t="s">
        <v>3007</v>
      </c>
      <c r="E2856" s="409" t="s">
        <v>4157</v>
      </c>
      <c r="F2856" s="409" t="s">
        <v>4158</v>
      </c>
      <c r="G2856" s="409" t="s">
        <v>4159</v>
      </c>
      <c r="H2856" s="465">
        <v>351.52542999999997</v>
      </c>
      <c r="I2856" s="465">
        <v>12.777100000000001</v>
      </c>
      <c r="J2856" s="465">
        <v>45.355609999999999</v>
      </c>
      <c r="K2856" s="465">
        <v>5195.5664999999999</v>
      </c>
      <c r="L2856" s="464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Fala úch.lišta 10mm 2,70m strieborná</v>
      </c>
      <c r="C2857" s="185">
        <f t="shared" si="89"/>
        <v>11.944369999999999</v>
      </c>
      <c r="D2857" s="409" t="s">
        <v>3008</v>
      </c>
      <c r="E2857" s="409" t="s">
        <v>5227</v>
      </c>
      <c r="F2857" s="409" t="s">
        <v>1253</v>
      </c>
      <c r="G2857" s="409" t="s">
        <v>5228</v>
      </c>
      <c r="H2857" s="465">
        <v>328.61543</v>
      </c>
      <c r="I2857" s="465">
        <v>11.944369999999999</v>
      </c>
      <c r="J2857" s="465">
        <v>45.41854</v>
      </c>
      <c r="K2857" s="465">
        <v>4856.9553400000004</v>
      </c>
      <c r="L2857" s="464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Polo úch.lišta 10mm 2,70m strieborná</v>
      </c>
      <c r="C2858" s="185">
        <f t="shared" si="89"/>
        <v>13.037319999999999</v>
      </c>
      <c r="D2858" s="409" t="s">
        <v>3009</v>
      </c>
      <c r="E2858" s="409" t="s">
        <v>4137</v>
      </c>
      <c r="F2858" s="409" t="s">
        <v>1216</v>
      </c>
      <c r="G2858" s="409" t="s">
        <v>4138</v>
      </c>
      <c r="H2858" s="465">
        <v>358.68481000000003</v>
      </c>
      <c r="I2858" s="465">
        <v>13.037319999999999</v>
      </c>
      <c r="J2858" s="465">
        <v>45.41854</v>
      </c>
      <c r="K2858" s="465">
        <v>5301.3825399999996</v>
      </c>
      <c r="L2858" s="464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Simple horné vedenie 6m strieborná</v>
      </c>
      <c r="C2859" s="185">
        <f t="shared" si="89"/>
        <v>42.937289999999997</v>
      </c>
      <c r="D2859" s="409" t="s">
        <v>3010</v>
      </c>
      <c r="E2859" s="409" t="s">
        <v>4913</v>
      </c>
      <c r="F2859" s="409" t="s">
        <v>1048</v>
      </c>
      <c r="G2859" s="409" t="s">
        <v>4914</v>
      </c>
      <c r="H2859" s="465">
        <v>1181.29729</v>
      </c>
      <c r="I2859" s="465">
        <v>42.937289999999997</v>
      </c>
      <c r="J2859" s="465">
        <v>157.76137</v>
      </c>
      <c r="K2859" s="465">
        <v>17459.643199999999</v>
      </c>
      <c r="L2859" s="464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Simple spodné vedenie 6m strieborná</v>
      </c>
      <c r="C2860" s="185">
        <f t="shared" si="89"/>
        <v>22.587620000000001</v>
      </c>
      <c r="D2860" s="409" t="s">
        <v>3011</v>
      </c>
      <c r="E2860" s="409" t="s">
        <v>4560</v>
      </c>
      <c r="F2860" s="409" t="s">
        <v>1046</v>
      </c>
      <c r="G2860" s="409" t="s">
        <v>4561</v>
      </c>
      <c r="H2860" s="465">
        <v>621.43397000000004</v>
      </c>
      <c r="I2860" s="465">
        <v>22.587620000000001</v>
      </c>
      <c r="J2860" s="465">
        <v>82.672120000000007</v>
      </c>
      <c r="K2860" s="465">
        <v>9184.8305600000003</v>
      </c>
      <c r="L2860" s="464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horný vozík Simple (10mm Fala ) asym</v>
      </c>
      <c r="C2861" s="185">
        <f t="shared" si="89"/>
        <v>2.1598799999999998</v>
      </c>
      <c r="D2861" s="409" t="s">
        <v>3012</v>
      </c>
      <c r="E2861" s="409" t="s">
        <v>5400</v>
      </c>
      <c r="F2861" s="409" t="s">
        <v>1058</v>
      </c>
      <c r="G2861" s="409" t="s">
        <v>5401</v>
      </c>
      <c r="H2861" s="465">
        <v>63.744489999999999</v>
      </c>
      <c r="I2861" s="465">
        <v>2.1598799999999998</v>
      </c>
      <c r="J2861" s="465">
        <v>8.4953299999999992</v>
      </c>
      <c r="K2861" s="465">
        <v>885.24325999999996</v>
      </c>
      <c r="L2861" s="464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horný vozík Simple (10mm Polo) symet</v>
      </c>
      <c r="C2862" s="185">
        <f t="shared" si="89"/>
        <v>2.1598799999999998</v>
      </c>
      <c r="D2862" s="409" t="s">
        <v>3013</v>
      </c>
      <c r="E2862" s="409" t="s">
        <v>5402</v>
      </c>
      <c r="F2862" s="409" t="s">
        <v>1057</v>
      </c>
      <c r="G2862" s="409" t="s">
        <v>5403</v>
      </c>
      <c r="H2862" s="465">
        <v>63.744489999999999</v>
      </c>
      <c r="I2862" s="465">
        <v>2.1598799999999998</v>
      </c>
      <c r="J2862" s="465">
        <v>8.4953299999999992</v>
      </c>
      <c r="K2862" s="465">
        <v>885.24325999999996</v>
      </c>
      <c r="L2862" s="464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horný vozík Simple (18mm)rámový L+P</v>
      </c>
      <c r="C2863" s="185">
        <f t="shared" si="89"/>
        <v>2.1598799999999998</v>
      </c>
      <c r="D2863" s="409" t="s">
        <v>3014</v>
      </c>
      <c r="E2863" s="409" t="s">
        <v>5407</v>
      </c>
      <c r="F2863" s="409" t="s">
        <v>1056</v>
      </c>
      <c r="G2863" s="409" t="s">
        <v>5408</v>
      </c>
      <c r="H2863" s="465">
        <v>63.744489999999999</v>
      </c>
      <c r="I2863" s="465">
        <v>2.1598799999999998</v>
      </c>
      <c r="J2863" s="465">
        <v>8.4953299999999992</v>
      </c>
      <c r="K2863" s="465">
        <v>885.24325999999996</v>
      </c>
      <c r="L2863" s="464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horný vozík Simple (pre lamino 18mm) bezrámový L+P</v>
      </c>
      <c r="C2864" s="185">
        <f t="shared" si="89"/>
        <v>2.2119200000000001</v>
      </c>
      <c r="D2864" s="409" t="s">
        <v>3015</v>
      </c>
      <c r="E2864" s="409" t="s">
        <v>5404</v>
      </c>
      <c r="F2864" s="409" t="s">
        <v>5405</v>
      </c>
      <c r="G2864" s="409" t="s">
        <v>5406</v>
      </c>
      <c r="H2864" s="465">
        <v>65.280519999999996</v>
      </c>
      <c r="I2864" s="465">
        <v>2.2119200000000001</v>
      </c>
      <c r="J2864" s="465">
        <v>7.5828699999999998</v>
      </c>
      <c r="K2864" s="465">
        <v>906.57474000000002</v>
      </c>
      <c r="L2864" s="464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str">
        <f t="shared" si="88"/>
        <v>SEVROLL upevňov.klín Simple 40ks (sklo 4mm)</v>
      </c>
      <c r="C2865" s="185" t="e">
        <f t="shared" si="89"/>
        <v>#N/A</v>
      </c>
      <c r="D2865" s="409" t="s">
        <v>3016</v>
      </c>
      <c r="E2865" s="409" t="s">
        <v>4172</v>
      </c>
      <c r="F2865" s="409" t="s">
        <v>1045</v>
      </c>
      <c r="G2865" s="409" t="s">
        <v>4173</v>
      </c>
      <c r="H2865" s="465" t="e">
        <v>#N/A</v>
      </c>
      <c r="I2865" s="465" t="e">
        <v>#N/A</v>
      </c>
      <c r="J2865" s="465" t="e">
        <v>#N/A</v>
      </c>
      <c r="K2865" s="465" t="e">
        <v>#N/A</v>
      </c>
      <c r="L2865" s="464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záslepka spodného vedenia Simple/Blue priesvitná, guma</v>
      </c>
      <c r="C2866" s="185">
        <f t="shared" si="89"/>
        <v>1.01488</v>
      </c>
      <c r="D2866" s="409" t="s">
        <v>3017</v>
      </c>
      <c r="E2866" s="409" t="s">
        <v>6184</v>
      </c>
      <c r="F2866" s="409" t="s">
        <v>6185</v>
      </c>
      <c r="G2866" s="409" t="s">
        <v>6186</v>
      </c>
      <c r="H2866" s="465">
        <v>29.95224</v>
      </c>
      <c r="I2866" s="465">
        <v>1.01488</v>
      </c>
      <c r="J2866" s="465">
        <v>3.4045299999999998</v>
      </c>
      <c r="K2866" s="465">
        <v>415.95776999999998</v>
      </c>
      <c r="L2866" s="464" t="s">
        <v>695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zámok na posuvné dvere 10/18mm</v>
      </c>
      <c r="C2867" s="185">
        <f t="shared" si="89"/>
        <v>15.855560000000001</v>
      </c>
      <c r="D2867" s="409" t="s">
        <v>3018</v>
      </c>
      <c r="E2867" s="409" t="s">
        <v>4437</v>
      </c>
      <c r="F2867" s="409" t="s">
        <v>4438</v>
      </c>
      <c r="G2867" s="409" t="s">
        <v>4439</v>
      </c>
      <c r="H2867" s="465">
        <v>467.71562999999998</v>
      </c>
      <c r="I2867" s="465">
        <v>15.855560000000001</v>
      </c>
      <c r="J2867" s="465">
        <v>66.840599999999995</v>
      </c>
      <c r="K2867" s="465">
        <v>6495.3400199999996</v>
      </c>
      <c r="L2867" s="464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Victoria II 2,7m úchytová lišta oliva tmavá kartáčovaná</v>
      </c>
      <c r="C2868" s="185">
        <f t="shared" si="89"/>
        <v>23.992840000000001</v>
      </c>
      <c r="D2868" s="409" t="s">
        <v>3019</v>
      </c>
      <c r="E2868" s="409" t="s">
        <v>4566</v>
      </c>
      <c r="F2868" s="409" t="s">
        <v>4567</v>
      </c>
      <c r="G2868" s="409" t="s">
        <v>4568</v>
      </c>
      <c r="H2868" s="465">
        <v>667.29562999999996</v>
      </c>
      <c r="I2868" s="465">
        <v>23.992840000000001</v>
      </c>
      <c r="J2868" s="465">
        <v>82.505279999999999</v>
      </c>
      <c r="K2868" s="465">
        <v>9562.6607700000004</v>
      </c>
      <c r="L2868" s="464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úchytová lišta 2,7m čierna  kartáčovaná</v>
      </c>
      <c r="C2869" s="185">
        <f t="shared" si="89"/>
        <v>23.992840000000001</v>
      </c>
      <c r="D2869" s="409" t="s">
        <v>3020</v>
      </c>
      <c r="E2869" s="409" t="s">
        <v>4613</v>
      </c>
      <c r="F2869" s="409" t="s">
        <v>4614</v>
      </c>
      <c r="G2869" s="409" t="s">
        <v>4615</v>
      </c>
      <c r="H2869" s="465">
        <v>667.29562999999996</v>
      </c>
      <c r="I2869" s="465">
        <v>23.992840000000001</v>
      </c>
      <c r="J2869" s="465">
        <v>82.505279999999999</v>
      </c>
      <c r="K2869" s="465">
        <v>9562.6607700000004</v>
      </c>
      <c r="L2869" s="464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Comfort spodné vedenie 1,7m oliva</v>
      </c>
      <c r="C2870" s="185">
        <f t="shared" si="89"/>
        <v>16.940709999999999</v>
      </c>
      <c r="D2870" s="409" t="s">
        <v>3021</v>
      </c>
      <c r="E2870" s="409" t="s">
        <v>4279</v>
      </c>
      <c r="F2870" s="409" t="s">
        <v>1183</v>
      </c>
      <c r="G2870" s="409" t="s">
        <v>4280</v>
      </c>
      <c r="H2870" s="465">
        <v>471.15992999999997</v>
      </c>
      <c r="I2870" s="465">
        <v>16.940709999999999</v>
      </c>
      <c r="J2870" s="465">
        <v>62.933999999999997</v>
      </c>
      <c r="K2870" s="465">
        <v>6751.9437900000003</v>
      </c>
      <c r="L2870" s="464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U profil oceľový 2m strieborný</v>
      </c>
      <c r="C2871" s="185">
        <f t="shared" si="89"/>
        <v>16.91469</v>
      </c>
      <c r="D2871" s="409" t="s">
        <v>3022</v>
      </c>
      <c r="E2871" s="409" t="s">
        <v>2122</v>
      </c>
      <c r="F2871" s="409" t="s">
        <v>2298</v>
      </c>
      <c r="G2871" s="409" t="s">
        <v>2598</v>
      </c>
      <c r="H2871" s="465">
        <v>448.43736999999999</v>
      </c>
      <c r="I2871" s="465">
        <v>16.91469</v>
      </c>
      <c r="J2871" s="465">
        <v>57.708179999999999</v>
      </c>
      <c r="K2871" s="465">
        <v>6550.51548</v>
      </c>
      <c r="L2871" s="464" t="s">
        <v>539</v>
      </c>
      <c r="O2871">
        <v>14.3</v>
      </c>
      <c r="P2871" t="s">
        <v>10203</v>
      </c>
    </row>
    <row r="2872" spans="1:16" ht="14.4" x14ac:dyDescent="0.3">
      <c r="A2872">
        <v>220614</v>
      </c>
      <c r="B2872" t="str">
        <f t="shared" si="88"/>
        <v>SEVROLL sada Herkules plus 40kg pre 2 krídla</v>
      </c>
      <c r="C2872" s="185" t="e">
        <f t="shared" si="89"/>
        <v>#N/A</v>
      </c>
      <c r="D2872" s="409" t="s">
        <v>3023</v>
      </c>
      <c r="E2872" s="409" t="s">
        <v>2123</v>
      </c>
      <c r="F2872" s="409" t="s">
        <v>2299</v>
      </c>
      <c r="G2872" s="409" t="s">
        <v>2599</v>
      </c>
      <c r="H2872" s="465" t="e">
        <v>#N/A</v>
      </c>
      <c r="I2872" s="465" t="e">
        <v>#N/A</v>
      </c>
      <c r="J2872" s="465" t="e">
        <v>#N/A</v>
      </c>
      <c r="K2872" s="465" t="e">
        <v>#N/A</v>
      </c>
      <c r="L2872" s="464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str">
        <f t="shared" si="88"/>
        <v>SEVROLL vodítko pre skládacie dvere Herkules</v>
      </c>
      <c r="C2873" s="185" t="e">
        <f t="shared" si="89"/>
        <v>#N/A</v>
      </c>
      <c r="D2873" s="409" t="s">
        <v>3024</v>
      </c>
      <c r="E2873" s="409" t="s">
        <v>2124</v>
      </c>
      <c r="F2873" s="409" t="s">
        <v>2300</v>
      </c>
      <c r="G2873" s="409" t="s">
        <v>2600</v>
      </c>
      <c r="H2873" s="465" t="e">
        <v>#N/A</v>
      </c>
      <c r="I2873" s="465" t="e">
        <v>#N/A</v>
      </c>
      <c r="J2873" s="465" t="e">
        <v>#N/A</v>
      </c>
      <c r="K2873" s="465" t="e">
        <v>#N/A</v>
      </c>
      <c r="L2873" s="464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stredový záves pružinový strieborný</v>
      </c>
      <c r="C2874" s="185">
        <f t="shared" si="89"/>
        <v>3.3569200000000001</v>
      </c>
      <c r="D2874" s="409" t="s">
        <v>3025</v>
      </c>
      <c r="E2874" s="409" t="s">
        <v>2125</v>
      </c>
      <c r="F2874" s="409" t="s">
        <v>2301</v>
      </c>
      <c r="G2874" s="409" t="s">
        <v>2601</v>
      </c>
      <c r="H2874" s="465">
        <v>88.997569999999996</v>
      </c>
      <c r="I2874" s="465">
        <v>3.3569200000000001</v>
      </c>
      <c r="J2874" s="465">
        <v>11.45285</v>
      </c>
      <c r="K2874" s="465">
        <v>1300.0254199999999</v>
      </c>
      <c r="L2874" s="464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str">
        <f t="shared" si="88"/>
        <v>SEVROLL Herkules plus horné vedenie 1,5m</v>
      </c>
      <c r="C2875" s="185" t="e">
        <f t="shared" si="89"/>
        <v>#N/A</v>
      </c>
      <c r="D2875" s="409" t="s">
        <v>3026</v>
      </c>
      <c r="E2875" s="409" t="s">
        <v>2126</v>
      </c>
      <c r="F2875" s="409" t="s">
        <v>2302</v>
      </c>
      <c r="G2875" s="409" t="s">
        <v>2602</v>
      </c>
      <c r="H2875" s="465" t="e">
        <v>#N/A</v>
      </c>
      <c r="I2875" s="465" t="e">
        <v>#N/A</v>
      </c>
      <c r="J2875" s="465" t="e">
        <v>#N/A</v>
      </c>
      <c r="K2875" s="465" t="e">
        <v>#N/A</v>
      </c>
      <c r="L2875" s="464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vodiaci tŕň</v>
      </c>
      <c r="C2876" s="185">
        <f t="shared" si="89"/>
        <v>0.75466</v>
      </c>
      <c r="D2876" s="409" t="s">
        <v>3027</v>
      </c>
      <c r="E2876" s="409" t="s">
        <v>6187</v>
      </c>
      <c r="F2876" s="409" t="s">
        <v>1077</v>
      </c>
      <c r="G2876" s="409" t="s">
        <v>6188</v>
      </c>
      <c r="H2876" s="465">
        <v>20.007210000000001</v>
      </c>
      <c r="I2876" s="465">
        <v>0.75466</v>
      </c>
      <c r="J2876" s="465">
        <v>2.5746799999999999</v>
      </c>
      <c r="K2876" s="465">
        <v>292.25380999999999</v>
      </c>
      <c r="L2876" s="464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Comfort spodné vedenie 3m oliva</v>
      </c>
      <c r="C2877" s="185">
        <f t="shared" si="89"/>
        <v>29.821899999999999</v>
      </c>
      <c r="D2877" s="409" t="s">
        <v>3028</v>
      </c>
      <c r="E2877" s="409" t="s">
        <v>4644</v>
      </c>
      <c r="F2877" s="409" t="s">
        <v>1182</v>
      </c>
      <c r="G2877" s="409" t="s">
        <v>4645</v>
      </c>
      <c r="H2877" s="465">
        <v>829.41520000000003</v>
      </c>
      <c r="I2877" s="465">
        <v>29.821899999999999</v>
      </c>
      <c r="J2877" s="465">
        <v>111.027</v>
      </c>
      <c r="K2877" s="465">
        <v>11885.91051</v>
      </c>
      <c r="L2877" s="464" t="s">
        <v>539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horná vodiaca lišta Simple/Blue 3m (pre lamino 18mm) strieborná</v>
      </c>
      <c r="C2878" s="185">
        <f t="shared" si="89"/>
        <v>10.38302</v>
      </c>
      <c r="D2878" s="409" t="s">
        <v>3029</v>
      </c>
      <c r="E2878" s="409" t="s">
        <v>5389</v>
      </c>
      <c r="F2878" s="409" t="s">
        <v>5390</v>
      </c>
      <c r="G2878" s="409" t="s">
        <v>2381</v>
      </c>
      <c r="H2878" s="465">
        <v>285.65917000000002</v>
      </c>
      <c r="I2878" s="465">
        <v>10.38302</v>
      </c>
      <c r="J2878" s="465">
        <v>50.028039999999997</v>
      </c>
      <c r="K2878" s="465">
        <v>4222.0592100000003</v>
      </c>
      <c r="L2878" s="464" t="s">
        <v>695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spodná krycia lišta Simple/Blue 3m (pre lamino 18mm) strieborná</v>
      </c>
      <c r="C2879" s="185">
        <f t="shared" si="89"/>
        <v>20.219560000000001</v>
      </c>
      <c r="D2879" s="409" t="s">
        <v>3030</v>
      </c>
      <c r="E2879" s="409" t="s">
        <v>5563</v>
      </c>
      <c r="F2879" s="409" t="s">
        <v>5564</v>
      </c>
      <c r="G2879" s="409" t="s">
        <v>2382</v>
      </c>
      <c r="H2879" s="465">
        <v>556.28363999999999</v>
      </c>
      <c r="I2879" s="465">
        <v>20.219560000000001</v>
      </c>
      <c r="J2879" s="465">
        <v>96.374769999999998</v>
      </c>
      <c r="K2879" s="465">
        <v>8221.9048399999992</v>
      </c>
      <c r="L2879" s="464" t="s">
        <v>695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horná vodiaca lišta Simple/Blue 3m(pre lamino 10mm)strieborná</v>
      </c>
      <c r="C2880" s="185">
        <f t="shared" si="89"/>
        <v>12.02244</v>
      </c>
      <c r="D2880" s="409" t="s">
        <v>3031</v>
      </c>
      <c r="E2880" s="409" t="s">
        <v>5369</v>
      </c>
      <c r="F2880" s="409" t="s">
        <v>5370</v>
      </c>
      <c r="G2880" s="409" t="s">
        <v>5371</v>
      </c>
      <c r="H2880" s="465">
        <v>330.76324</v>
      </c>
      <c r="I2880" s="465">
        <v>12.02244</v>
      </c>
      <c r="J2880" s="465">
        <v>45.607320000000001</v>
      </c>
      <c r="K2880" s="465">
        <v>4888.7000099999996</v>
      </c>
      <c r="L2880" s="464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spodná krycia lišta Simple/Blue 3m (pre lamino 10mm) strieborná</v>
      </c>
      <c r="C2881" s="185">
        <f t="shared" si="89"/>
        <v>19.568999999999999</v>
      </c>
      <c r="D2881" s="409" t="s">
        <v>3032</v>
      </c>
      <c r="E2881" s="409" t="s">
        <v>5542</v>
      </c>
      <c r="F2881" s="409" t="s">
        <v>5543</v>
      </c>
      <c r="G2881" s="409" t="s">
        <v>5544</v>
      </c>
      <c r="H2881" s="465">
        <v>538.38517999999999</v>
      </c>
      <c r="I2881" s="465">
        <v>19.568999999999999</v>
      </c>
      <c r="J2881" s="465">
        <v>68.544700000000006</v>
      </c>
      <c r="K2881" s="465">
        <v>7957.3645900000001</v>
      </c>
      <c r="L2881" s="464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šablóna pre vozíky DTD 18mm</v>
      </c>
      <c r="C2882" s="185">
        <f t="shared" si="89"/>
        <v>4.0829800000000001</v>
      </c>
      <c r="D2882" s="409" t="s">
        <v>3033</v>
      </c>
      <c r="E2882" s="409" t="s">
        <v>5707</v>
      </c>
      <c r="F2882" s="409" t="s">
        <v>1071</v>
      </c>
      <c r="G2882" s="409" t="s">
        <v>5708</v>
      </c>
      <c r="H2882" s="465">
        <v>102.443</v>
      </c>
      <c r="I2882" s="465">
        <v>4.0829800000000001</v>
      </c>
      <c r="J2882" s="465">
        <v>17.821909999999999</v>
      </c>
      <c r="K2882" s="465">
        <v>1662.2421200000001</v>
      </c>
      <c r="L2882" s="464" t="s">
        <v>541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úchytová lišta 18mm 2,7m zlatá</v>
      </c>
      <c r="C2883" s="185">
        <f t="shared" si="89"/>
        <v>15.925829999999999</v>
      </c>
      <c r="D2883" s="409" t="s">
        <v>1190</v>
      </c>
      <c r="E2883" s="409" t="s">
        <v>4304</v>
      </c>
      <c r="F2883" s="409" t="s">
        <v>4305</v>
      </c>
      <c r="G2883" s="409" t="s">
        <v>4306</v>
      </c>
      <c r="H2883" s="465">
        <v>442.93376000000001</v>
      </c>
      <c r="I2883" s="465">
        <v>15.925829999999999</v>
      </c>
      <c r="J2883" s="465">
        <v>54.764899999999997</v>
      </c>
      <c r="K2883" s="465">
        <v>6347.4494199999999</v>
      </c>
      <c r="L2883" s="464" t="s">
        <v>538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úchytová lišta 18mm 2,70m strieborná</v>
      </c>
      <c r="C2884" s="185">
        <f t="shared" ref="C2884:C2947" si="91">IF($A$2=1,H2884,IF($A$2=2,I2884,IF($A$2=3,J2884,IF($A$2=4,K2884,IF($A$2&gt;4,O2884,"zadat jazyk")))))</f>
        <v>12.646979999999999</v>
      </c>
      <c r="D2884" s="409" t="s">
        <v>3034</v>
      </c>
      <c r="E2884" s="409" t="s">
        <v>4207</v>
      </c>
      <c r="F2884" s="409" t="s">
        <v>4208</v>
      </c>
      <c r="G2884" s="409" t="s">
        <v>4209</v>
      </c>
      <c r="H2884" s="465">
        <v>351.74153000000001</v>
      </c>
      <c r="I2884" s="465">
        <v>12.646979999999999</v>
      </c>
      <c r="J2884" s="465">
        <v>45.701709999999999</v>
      </c>
      <c r="K2884" s="465">
        <v>5040.6218200000003</v>
      </c>
      <c r="L2884" s="464" t="s">
        <v>695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úchytová lišta 18mm 2,70m oliva</v>
      </c>
      <c r="C2885" s="185">
        <f t="shared" si="91"/>
        <v>15.925829999999999</v>
      </c>
      <c r="D2885" s="409" t="s">
        <v>3035</v>
      </c>
      <c r="E2885" s="409" t="s">
        <v>4284</v>
      </c>
      <c r="F2885" s="409" t="s">
        <v>3035</v>
      </c>
      <c r="G2885" s="409" t="s">
        <v>4285</v>
      </c>
      <c r="H2885" s="465">
        <v>442.93376000000001</v>
      </c>
      <c r="I2885" s="465">
        <v>15.925829999999999</v>
      </c>
      <c r="J2885" s="465">
        <v>54.764899999999997</v>
      </c>
      <c r="K2885" s="465">
        <v>6347.4494199999999</v>
      </c>
      <c r="L2885" s="464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ZR-18 Unicomfort sada pre rozbalovacie dvere</v>
      </c>
      <c r="C2886" s="185">
        <f t="shared" si="91"/>
        <v>30.446439999999999</v>
      </c>
      <c r="D2886" s="409" t="s">
        <v>3036</v>
      </c>
      <c r="E2886" s="409" t="s">
        <v>1861</v>
      </c>
      <c r="F2886" s="409" t="s">
        <v>2174</v>
      </c>
      <c r="G2886" s="409" t="s">
        <v>2406</v>
      </c>
      <c r="H2886" s="465">
        <v>846.78513999999996</v>
      </c>
      <c r="I2886" s="465">
        <v>30.446439999999999</v>
      </c>
      <c r="J2886" s="465">
        <v>106.2534</v>
      </c>
      <c r="K2886" s="465">
        <v>12134.82993</v>
      </c>
      <c r="L2886" s="464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úholník K2 1,7m oliva tmavá kartáčovaná</v>
      </c>
      <c r="C2887" s="185">
        <f t="shared" si="91"/>
        <v>4.8922499999999998</v>
      </c>
      <c r="D2887" s="409" t="s">
        <v>3037</v>
      </c>
      <c r="E2887" s="409" t="s">
        <v>3676</v>
      </c>
      <c r="F2887" s="409" t="s">
        <v>3677</v>
      </c>
      <c r="G2887" s="409" t="s">
        <v>3678</v>
      </c>
      <c r="H2887" s="465">
        <v>136.06462999999999</v>
      </c>
      <c r="I2887" s="465">
        <v>4.8922499999999998</v>
      </c>
      <c r="J2887" s="465">
        <v>16.82321</v>
      </c>
      <c r="K2887" s="465">
        <v>1949.8701900000001</v>
      </c>
      <c r="L2887" s="464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uholník K2 2,35m oliva tmavá kartáčovaná</v>
      </c>
      <c r="C2888" s="185">
        <f t="shared" si="91"/>
        <v>6.7658800000000001</v>
      </c>
      <c r="D2888" s="409" t="s">
        <v>3038</v>
      </c>
      <c r="E2888" s="409" t="s">
        <v>3793</v>
      </c>
      <c r="F2888" s="409" t="s">
        <v>3794</v>
      </c>
      <c r="G2888" s="409" t="s">
        <v>3795</v>
      </c>
      <c r="H2888" s="465">
        <v>188.17447000000001</v>
      </c>
      <c r="I2888" s="465">
        <v>6.7658800000000001</v>
      </c>
      <c r="J2888" s="465">
        <v>23.26613</v>
      </c>
      <c r="K2888" s="465">
        <v>2696.62887</v>
      </c>
      <c r="L2888" s="464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uholník K2 3m oliva tmavá kartáč.</v>
      </c>
      <c r="C2889" s="185">
        <f t="shared" si="91"/>
        <v>8.6395</v>
      </c>
      <c r="D2889" s="409" t="s">
        <v>3039</v>
      </c>
      <c r="E2889" s="409" t="s">
        <v>3968</v>
      </c>
      <c r="F2889" s="409" t="s">
        <v>1092</v>
      </c>
      <c r="G2889" s="409" t="s">
        <v>3969</v>
      </c>
      <c r="H2889" s="465">
        <v>240.28432000000001</v>
      </c>
      <c r="I2889" s="465">
        <v>8.6395</v>
      </c>
      <c r="J2889" s="465">
        <v>31.558800000000002</v>
      </c>
      <c r="K2889" s="465">
        <v>3443.3875499999999</v>
      </c>
      <c r="L2889" s="464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spoj.lišta H18 3m oliva tm.kartáč</v>
      </c>
      <c r="C2890" s="185">
        <f t="shared" si="91"/>
        <v>19.360810000000001</v>
      </c>
      <c r="D2890" s="409" t="s">
        <v>3040</v>
      </c>
      <c r="E2890" s="409" t="s">
        <v>5586</v>
      </c>
      <c r="F2890" s="409" t="s">
        <v>1100</v>
      </c>
      <c r="G2890" s="409" t="s">
        <v>5587</v>
      </c>
      <c r="H2890" s="465">
        <v>538.46848999999997</v>
      </c>
      <c r="I2890" s="465">
        <v>19.360810000000001</v>
      </c>
      <c r="J2890" s="465">
        <v>67.391400000000004</v>
      </c>
      <c r="K2890" s="465">
        <v>7716.5070900000001</v>
      </c>
      <c r="L2890" s="464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profil "U" 18mm 3m oliva kartáčovaná</v>
      </c>
      <c r="C2891" s="185">
        <f t="shared" si="91"/>
        <v>8.5614399999999993</v>
      </c>
      <c r="D2891" s="409" t="s">
        <v>3041</v>
      </c>
      <c r="E2891" s="409" t="s">
        <v>4121</v>
      </c>
      <c r="F2891" s="409" t="s">
        <v>1112</v>
      </c>
      <c r="G2891" s="409" t="s">
        <v>4122</v>
      </c>
      <c r="H2891" s="465">
        <v>238.11309</v>
      </c>
      <c r="I2891" s="465">
        <v>8.5614399999999993</v>
      </c>
      <c r="J2891" s="465">
        <v>36.934199999999997</v>
      </c>
      <c r="K2891" s="465">
        <v>3412.2727399999999</v>
      </c>
      <c r="L2891" s="464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profil "U" 18mm 3m oliva tmavá kartáčovaná</v>
      </c>
      <c r="C2892" s="185">
        <f t="shared" si="91"/>
        <v>8.5614399999999993</v>
      </c>
      <c r="D2892" s="409" t="s">
        <v>3042</v>
      </c>
      <c r="E2892" s="409" t="s">
        <v>4123</v>
      </c>
      <c r="F2892" s="409" t="s">
        <v>1111</v>
      </c>
      <c r="G2892" s="409" t="s">
        <v>4124</v>
      </c>
      <c r="H2892" s="465">
        <v>238.11309</v>
      </c>
      <c r="I2892" s="465">
        <v>8.5614399999999993</v>
      </c>
      <c r="J2892" s="465">
        <v>36.934199999999997</v>
      </c>
      <c r="K2892" s="465">
        <v>3412.2727399999999</v>
      </c>
      <c r="L2892" s="464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profil "U" 18mm 3m čierna kartáčovaná</v>
      </c>
      <c r="C2893" s="185">
        <f t="shared" si="91"/>
        <v>8.5614399999999993</v>
      </c>
      <c r="D2893" s="409" t="s">
        <v>3043</v>
      </c>
      <c r="E2893" s="409" t="s">
        <v>4128</v>
      </c>
      <c r="F2893" s="409" t="s">
        <v>4129</v>
      </c>
      <c r="G2893" s="409" t="s">
        <v>4130</v>
      </c>
      <c r="H2893" s="465">
        <v>238.11309</v>
      </c>
      <c r="I2893" s="465">
        <v>8.5614399999999993</v>
      </c>
      <c r="J2893" s="465">
        <v>36.934199999999997</v>
      </c>
      <c r="K2893" s="465">
        <v>3412.2727399999999</v>
      </c>
      <c r="L2893" s="464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spoj.lišta H18 3m čierna kartáč</v>
      </c>
      <c r="C2894" s="185">
        <f t="shared" si="91"/>
        <v>19.360810000000001</v>
      </c>
      <c r="D2894" s="409" t="s">
        <v>3044</v>
      </c>
      <c r="E2894" s="409" t="s">
        <v>5581</v>
      </c>
      <c r="F2894" s="409" t="s">
        <v>1205</v>
      </c>
      <c r="G2894" s="409" t="s">
        <v>5582</v>
      </c>
      <c r="H2894" s="465">
        <v>538.46848999999997</v>
      </c>
      <c r="I2894" s="465">
        <v>19.360810000000001</v>
      </c>
      <c r="J2894" s="465">
        <v>67.391400000000004</v>
      </c>
      <c r="K2894" s="465">
        <v>7716.5070900000001</v>
      </c>
      <c r="L2894" s="464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uholník K2 1,7m čierna kartáčovaná</v>
      </c>
      <c r="C2895" s="185">
        <f t="shared" si="91"/>
        <v>4.8922499999999998</v>
      </c>
      <c r="D2895" s="409" t="s">
        <v>3045</v>
      </c>
      <c r="E2895" s="409" t="s">
        <v>3653</v>
      </c>
      <c r="F2895" s="409" t="s">
        <v>3654</v>
      </c>
      <c r="G2895" s="409" t="s">
        <v>3655</v>
      </c>
      <c r="H2895" s="465">
        <v>136.06462999999999</v>
      </c>
      <c r="I2895" s="465">
        <v>4.8922499999999998</v>
      </c>
      <c r="J2895" s="465">
        <v>16.82321</v>
      </c>
      <c r="K2895" s="465">
        <v>1949.8701900000001</v>
      </c>
      <c r="L2895" s="464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uholník K2 2,35m čierna kartáčovaná</v>
      </c>
      <c r="C2896" s="185">
        <f t="shared" si="91"/>
        <v>6.7658800000000001</v>
      </c>
      <c r="D2896" s="409" t="s">
        <v>3046</v>
      </c>
      <c r="E2896" s="409" t="s">
        <v>3790</v>
      </c>
      <c r="F2896" s="409" t="s">
        <v>3791</v>
      </c>
      <c r="G2896" s="409" t="s">
        <v>3792</v>
      </c>
      <c r="H2896" s="465">
        <v>188.17447000000001</v>
      </c>
      <c r="I2896" s="465">
        <v>6.7658800000000001</v>
      </c>
      <c r="J2896" s="465">
        <v>23.26613</v>
      </c>
      <c r="K2896" s="465">
        <v>2696.62887</v>
      </c>
      <c r="L2896" s="464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uholník K2 3m čierna kartač</v>
      </c>
      <c r="C2897" s="185">
        <f t="shared" si="91"/>
        <v>8.6395</v>
      </c>
      <c r="D2897" s="409" t="s">
        <v>3047</v>
      </c>
      <c r="E2897" s="409" t="s">
        <v>4008</v>
      </c>
      <c r="F2897" s="409" t="s">
        <v>1198</v>
      </c>
      <c r="G2897" s="409" t="s">
        <v>4009</v>
      </c>
      <c r="H2897" s="465">
        <v>240.28432000000001</v>
      </c>
      <c r="I2897" s="465">
        <v>8.6395</v>
      </c>
      <c r="J2897" s="465">
        <v>31.558800000000002</v>
      </c>
      <c r="K2897" s="465">
        <v>3443.3875499999999</v>
      </c>
      <c r="L2897" s="464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Hide M spodné vedenie 3m oliva</v>
      </c>
      <c r="C2898" s="185">
        <f t="shared" si="91"/>
        <v>10.61722</v>
      </c>
      <c r="D2898" s="409" t="s">
        <v>3048</v>
      </c>
      <c r="E2898" s="409" t="s">
        <v>4034</v>
      </c>
      <c r="F2898" s="409" t="s">
        <v>4035</v>
      </c>
      <c r="G2898" s="409" t="s">
        <v>4036</v>
      </c>
      <c r="H2898" s="465">
        <v>281.48068999999998</v>
      </c>
      <c r="I2898" s="465">
        <v>10.61722</v>
      </c>
      <c r="J2898" s="465">
        <v>36.22298</v>
      </c>
      <c r="K2898" s="465">
        <v>4111.7082499999997</v>
      </c>
      <c r="L2898" s="464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str">
        <f t="shared" si="90"/>
        <v>SEVROLL Herkules 2 horné vedenie 1,2m alu</v>
      </c>
      <c r="C2899" s="185" t="e">
        <f t="shared" si="91"/>
        <v>#N/A</v>
      </c>
      <c r="D2899" s="409" t="s">
        <v>3049</v>
      </c>
      <c r="E2899" s="409" t="s">
        <v>4348</v>
      </c>
      <c r="F2899" s="409" t="s">
        <v>4349</v>
      </c>
      <c r="G2899" s="409" t="s">
        <v>4350</v>
      </c>
      <c r="H2899" s="465" t="e">
        <v>#N/A</v>
      </c>
      <c r="I2899" s="465" t="e">
        <v>#N/A</v>
      </c>
      <c r="J2899" s="465" t="e">
        <v>#N/A</v>
      </c>
      <c r="K2899" s="465" t="e">
        <v>#N/A</v>
      </c>
      <c r="L2899" s="464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str">
        <f t="shared" si="90"/>
        <v>SEVROLL Herkules 2 horné vedenie 1,5m alu</v>
      </c>
      <c r="C2900" s="185" t="e">
        <f t="shared" si="91"/>
        <v>#N/A</v>
      </c>
      <c r="D2900" s="409" t="s">
        <v>3050</v>
      </c>
      <c r="E2900" s="409" t="s">
        <v>4492</v>
      </c>
      <c r="F2900" s="409" t="s">
        <v>4493</v>
      </c>
      <c r="G2900" s="409" t="s">
        <v>4494</v>
      </c>
      <c r="H2900" s="465" t="e">
        <v>#N/A</v>
      </c>
      <c r="I2900" s="465" t="e">
        <v>#N/A</v>
      </c>
      <c r="J2900" s="465" t="e">
        <v>#N/A</v>
      </c>
      <c r="K2900" s="465" t="e">
        <v>#N/A</v>
      </c>
      <c r="L2900" s="464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str">
        <f t="shared" si="90"/>
        <v>SEVROLL Herkules 2 horné vedenie 1,8m alu</v>
      </c>
      <c r="C2901" s="185" t="e">
        <f t="shared" si="91"/>
        <v>#N/A</v>
      </c>
      <c r="D2901" s="409" t="s">
        <v>3051</v>
      </c>
      <c r="E2901" s="409" t="s">
        <v>4604</v>
      </c>
      <c r="F2901" s="409" t="s">
        <v>4605</v>
      </c>
      <c r="G2901" s="409" t="s">
        <v>4606</v>
      </c>
      <c r="H2901" s="465" t="e">
        <v>#N/A</v>
      </c>
      <c r="I2901" s="465" t="e">
        <v>#N/A</v>
      </c>
      <c r="J2901" s="465" t="e">
        <v>#N/A</v>
      </c>
      <c r="K2901" s="465" t="e">
        <v>#N/A</v>
      </c>
      <c r="L2901" s="464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str">
        <f t="shared" si="90"/>
        <v>SEVROLL Herkules 2 horné vedenie 2m alu</v>
      </c>
      <c r="C2902" s="185" t="e">
        <f t="shared" si="91"/>
        <v>#N/A</v>
      </c>
      <c r="D2902" s="409" t="s">
        <v>3052</v>
      </c>
      <c r="E2902" s="409" t="s">
        <v>4678</v>
      </c>
      <c r="F2902" s="409" t="s">
        <v>4679</v>
      </c>
      <c r="G2902" s="409" t="s">
        <v>4680</v>
      </c>
      <c r="H2902" s="465" t="e">
        <v>#N/A</v>
      </c>
      <c r="I2902" s="465" t="e">
        <v>#N/A</v>
      </c>
      <c r="J2902" s="465" t="e">
        <v>#N/A</v>
      </c>
      <c r="K2902" s="465" t="e">
        <v>#N/A</v>
      </c>
      <c r="L2902" s="464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str">
        <f t="shared" si="90"/>
        <v>SEVROLL Herkules 2 horné vedenie 3m alu</v>
      </c>
      <c r="C2903" s="185" t="e">
        <f t="shared" si="91"/>
        <v>#N/A</v>
      </c>
      <c r="D2903" s="409" t="s">
        <v>2723</v>
      </c>
      <c r="E2903" s="409" t="s">
        <v>4891</v>
      </c>
      <c r="F2903" s="409" t="s">
        <v>4892</v>
      </c>
      <c r="G2903" s="409" t="s">
        <v>4893</v>
      </c>
      <c r="H2903" s="465" t="e">
        <v>#N/A</v>
      </c>
      <c r="I2903" s="465" t="e">
        <v>#N/A</v>
      </c>
      <c r="J2903" s="465" t="e">
        <v>#N/A</v>
      </c>
      <c r="K2903" s="465" t="e">
        <v>#N/A</v>
      </c>
      <c r="L2903" s="464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str">
        <f t="shared" si="90"/>
        <v>SEVROLL Herkules 2 horné vedenie 4m alu</v>
      </c>
      <c r="C2904" s="185" t="e">
        <f t="shared" si="91"/>
        <v>#N/A</v>
      </c>
      <c r="D2904" s="409" t="s">
        <v>3053</v>
      </c>
      <c r="E2904" s="409" t="s">
        <v>4976</v>
      </c>
      <c r="F2904" s="409" t="s">
        <v>4977</v>
      </c>
      <c r="G2904" s="409" t="s">
        <v>4978</v>
      </c>
      <c r="H2904" s="465" t="e">
        <v>#N/A</v>
      </c>
      <c r="I2904" s="465" t="e">
        <v>#N/A</v>
      </c>
      <c r="J2904" s="465" t="e">
        <v>#N/A</v>
      </c>
      <c r="K2904" s="465" t="e">
        <v>#N/A</v>
      </c>
      <c r="L2904" s="464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str">
        <f t="shared" si="90"/>
        <v>SEVROLL Herkules 2 horné vedenie 6m alu</v>
      </c>
      <c r="C2905" s="185" t="e">
        <f t="shared" si="91"/>
        <v>#N/A</v>
      </c>
      <c r="D2905" s="409" t="s">
        <v>3054</v>
      </c>
      <c r="E2905" s="409" t="s">
        <v>5061</v>
      </c>
      <c r="F2905" s="409" t="s">
        <v>5062</v>
      </c>
      <c r="G2905" s="409" t="s">
        <v>5063</v>
      </c>
      <c r="H2905" s="465" t="e">
        <v>#N/A</v>
      </c>
      <c r="I2905" s="465" t="e">
        <v>#N/A</v>
      </c>
      <c r="J2905" s="465" t="e">
        <v>#N/A</v>
      </c>
      <c r="K2905" s="465" t="e">
        <v>#N/A</v>
      </c>
      <c r="L2905" s="464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str">
        <f t="shared" si="90"/>
        <v>SEVROLL Herkules sada kovania60kg, 1,2m</v>
      </c>
      <c r="C2906" s="185" t="e">
        <f t="shared" si="91"/>
        <v>#N/A</v>
      </c>
      <c r="D2906" s="409" t="s">
        <v>3055</v>
      </c>
      <c r="E2906" s="409" t="s">
        <v>4958</v>
      </c>
      <c r="F2906" s="409" t="s">
        <v>1152</v>
      </c>
      <c r="G2906" s="409" t="s">
        <v>4959</v>
      </c>
      <c r="H2906" s="465" t="e">
        <v>#N/A</v>
      </c>
      <c r="I2906" s="465" t="e">
        <v>#N/A</v>
      </c>
      <c r="J2906" s="465" t="e">
        <v>#N/A</v>
      </c>
      <c r="K2906" s="465" t="e">
        <v>#N/A</v>
      </c>
      <c r="L2906" s="464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str">
        <f t="shared" si="90"/>
        <v>SEVROLL Herkules sada kovania120kg, 1,2m</v>
      </c>
      <c r="C2907" s="185" t="e">
        <f t="shared" si="91"/>
        <v>#N/A</v>
      </c>
      <c r="D2907" s="409" t="s">
        <v>3056</v>
      </c>
      <c r="E2907" s="409" t="s">
        <v>4998</v>
      </c>
      <c r="F2907" s="409" t="s">
        <v>1159</v>
      </c>
      <c r="G2907" s="409" t="s">
        <v>4999</v>
      </c>
      <c r="H2907" s="465" t="e">
        <v>#N/A</v>
      </c>
      <c r="I2907" s="465" t="e">
        <v>#N/A</v>
      </c>
      <c r="J2907" s="465" t="e">
        <v>#N/A</v>
      </c>
      <c r="K2907" s="465" t="e">
        <v>#N/A</v>
      </c>
      <c r="L2907" s="464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str">
        <f t="shared" si="90"/>
        <v>SEVROLL Herkules sada kovania60kg, 1,5m</v>
      </c>
      <c r="C2908" s="185" t="e">
        <f t="shared" si="91"/>
        <v>#N/A</v>
      </c>
      <c r="D2908" s="409" t="s">
        <v>3057</v>
      </c>
      <c r="E2908" s="409" t="s">
        <v>4982</v>
      </c>
      <c r="F2908" s="409" t="s">
        <v>1151</v>
      </c>
      <c r="G2908" s="409" t="s">
        <v>4983</v>
      </c>
      <c r="H2908" s="465" t="e">
        <v>#N/A</v>
      </c>
      <c r="I2908" s="465" t="e">
        <v>#N/A</v>
      </c>
      <c r="J2908" s="465" t="e">
        <v>#N/A</v>
      </c>
      <c r="K2908" s="465" t="e">
        <v>#N/A</v>
      </c>
      <c r="L2908" s="464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str">
        <f t="shared" si="90"/>
        <v>SEVROLL Herkules sada kovania120kg, 1,5m</v>
      </c>
      <c r="C2909" s="185" t="e">
        <f t="shared" si="91"/>
        <v>#N/A</v>
      </c>
      <c r="D2909" s="409" t="s">
        <v>3058</v>
      </c>
      <c r="E2909" s="409" t="s">
        <v>5032</v>
      </c>
      <c r="F2909" s="409" t="s">
        <v>1158</v>
      </c>
      <c r="G2909" s="409" t="s">
        <v>5033</v>
      </c>
      <c r="H2909" s="465" t="e">
        <v>#N/A</v>
      </c>
      <c r="I2909" s="465" t="e">
        <v>#N/A</v>
      </c>
      <c r="J2909" s="465" t="e">
        <v>#N/A</v>
      </c>
      <c r="K2909" s="465" t="e">
        <v>#N/A</v>
      </c>
      <c r="L2909" s="464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str">
        <f t="shared" si="90"/>
        <v>SEVROLL Herkules sada kovania60kg, 1,8m</v>
      </c>
      <c r="C2910" s="185" t="e">
        <f t="shared" si="91"/>
        <v>#N/A</v>
      </c>
      <c r="D2910" s="409" t="s">
        <v>3059</v>
      </c>
      <c r="E2910" s="409" t="s">
        <v>5028</v>
      </c>
      <c r="F2910" s="409" t="s">
        <v>1150</v>
      </c>
      <c r="G2910" s="409" t="s">
        <v>5029</v>
      </c>
      <c r="H2910" s="465" t="e">
        <v>#N/A</v>
      </c>
      <c r="I2910" s="465" t="e">
        <v>#N/A</v>
      </c>
      <c r="J2910" s="465" t="e">
        <v>#N/A</v>
      </c>
      <c r="K2910" s="465" t="e">
        <v>#N/A</v>
      </c>
      <c r="L2910" s="464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str">
        <f t="shared" si="90"/>
        <v>SEVROLL Herkules sada kovania120kg, 1,8m</v>
      </c>
      <c r="C2911" s="185" t="e">
        <f t="shared" si="91"/>
        <v>#N/A</v>
      </c>
      <c r="D2911" s="409" t="s">
        <v>3060</v>
      </c>
      <c r="E2911" s="409" t="s">
        <v>5037</v>
      </c>
      <c r="F2911" s="409" t="s">
        <v>1157</v>
      </c>
      <c r="G2911" s="409" t="s">
        <v>5038</v>
      </c>
      <c r="H2911" s="465" t="e">
        <v>#N/A</v>
      </c>
      <c r="I2911" s="465" t="e">
        <v>#N/A</v>
      </c>
      <c r="J2911" s="465" t="e">
        <v>#N/A</v>
      </c>
      <c r="K2911" s="465" t="e">
        <v>#N/A</v>
      </c>
      <c r="L2911" s="464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str">
        <f t="shared" si="90"/>
        <v>SEVROLL Herkules sada kovania60kg, 2m</v>
      </c>
      <c r="C2912" s="185" t="e">
        <f t="shared" si="91"/>
        <v>#N/A</v>
      </c>
      <c r="D2912" s="409" t="s">
        <v>3061</v>
      </c>
      <c r="E2912" s="409" t="s">
        <v>5030</v>
      </c>
      <c r="F2912" s="409" t="s">
        <v>1148</v>
      </c>
      <c r="G2912" s="409" t="s">
        <v>5031</v>
      </c>
      <c r="H2912" s="465" t="e">
        <v>#N/A</v>
      </c>
      <c r="I2912" s="465" t="e">
        <v>#N/A</v>
      </c>
      <c r="J2912" s="465" t="e">
        <v>#N/A</v>
      </c>
      <c r="K2912" s="465" t="e">
        <v>#N/A</v>
      </c>
      <c r="L2912" s="464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str">
        <f t="shared" si="90"/>
        <v>SEVROLL Herkules sada kovania120kg, 2m</v>
      </c>
      <c r="C2913" s="185" t="e">
        <f t="shared" si="91"/>
        <v>#N/A</v>
      </c>
      <c r="D2913" s="409" t="s">
        <v>3062</v>
      </c>
      <c r="E2913" s="409" t="s">
        <v>5049</v>
      </c>
      <c r="F2913" s="409" t="s">
        <v>1155</v>
      </c>
      <c r="G2913" s="409" t="s">
        <v>5050</v>
      </c>
      <c r="H2913" s="465" t="e">
        <v>#N/A</v>
      </c>
      <c r="I2913" s="465" t="e">
        <v>#N/A</v>
      </c>
      <c r="J2913" s="465" t="e">
        <v>#N/A</v>
      </c>
      <c r="K2913" s="465" t="e">
        <v>#N/A</v>
      </c>
      <c r="L2913" s="464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str">
        <f t="shared" si="90"/>
        <v>SEVROLL Herkules sada kovania60kg, 2,4m</v>
      </c>
      <c r="C2914" s="185" t="e">
        <f t="shared" si="91"/>
        <v>#N/A</v>
      </c>
      <c r="D2914" s="409" t="s">
        <v>3063</v>
      </c>
      <c r="E2914" s="409" t="s">
        <v>5041</v>
      </c>
      <c r="F2914" s="409" t="s">
        <v>1149</v>
      </c>
      <c r="G2914" s="409" t="s">
        <v>5042</v>
      </c>
      <c r="H2914" s="465" t="e">
        <v>#N/A</v>
      </c>
      <c r="I2914" s="465" t="e">
        <v>#N/A</v>
      </c>
      <c r="J2914" s="465" t="e">
        <v>#N/A</v>
      </c>
      <c r="K2914" s="465" t="e">
        <v>#N/A</v>
      </c>
      <c r="L2914" s="464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str">
        <f t="shared" si="90"/>
        <v>SEVROLL Herkules sada kovania120kg, 2,4m</v>
      </c>
      <c r="C2915" s="185" t="e">
        <f t="shared" si="91"/>
        <v>#N/A</v>
      </c>
      <c r="D2915" s="409" t="s">
        <v>3064</v>
      </c>
      <c r="E2915" s="409" t="s">
        <v>5069</v>
      </c>
      <c r="F2915" s="409" t="s">
        <v>1156</v>
      </c>
      <c r="G2915" s="409" t="s">
        <v>5070</v>
      </c>
      <c r="H2915" s="465" t="e">
        <v>#N/A</v>
      </c>
      <c r="I2915" s="465" t="e">
        <v>#N/A</v>
      </c>
      <c r="J2915" s="465" t="e">
        <v>#N/A</v>
      </c>
      <c r="K2915" s="465" t="e">
        <v>#N/A</v>
      </c>
      <c r="L2915" s="464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str">
        <f t="shared" si="90"/>
        <v>SEVROLL Herkules sada kovania60kg, 3m</v>
      </c>
      <c r="C2916" s="185" t="e">
        <f t="shared" si="91"/>
        <v>#N/A</v>
      </c>
      <c r="D2916" s="409" t="s">
        <v>3065</v>
      </c>
      <c r="E2916" s="409" t="s">
        <v>5071</v>
      </c>
      <c r="F2916" s="409" t="s">
        <v>1147</v>
      </c>
      <c r="G2916" s="409" t="s">
        <v>5072</v>
      </c>
      <c r="H2916" s="465" t="e">
        <v>#N/A</v>
      </c>
      <c r="I2916" s="465" t="e">
        <v>#N/A</v>
      </c>
      <c r="J2916" s="465" t="e">
        <v>#N/A</v>
      </c>
      <c r="K2916" s="465" t="e">
        <v>#N/A</v>
      </c>
      <c r="L2916" s="464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str">
        <f t="shared" si="90"/>
        <v>SEVROLL Herkules sada kovania120kg, 3m</v>
      </c>
      <c r="C2917" s="185" t="e">
        <f t="shared" si="91"/>
        <v>#N/A</v>
      </c>
      <c r="D2917" s="409" t="s">
        <v>3066</v>
      </c>
      <c r="E2917" s="409" t="s">
        <v>5076</v>
      </c>
      <c r="F2917" s="409" t="s">
        <v>1154</v>
      </c>
      <c r="G2917" s="409" t="s">
        <v>5077</v>
      </c>
      <c r="H2917" s="465" t="e">
        <v>#N/A</v>
      </c>
      <c r="I2917" s="465" t="e">
        <v>#N/A</v>
      </c>
      <c r="J2917" s="465" t="e">
        <v>#N/A</v>
      </c>
      <c r="K2917" s="465" t="e">
        <v>#N/A</v>
      </c>
      <c r="L2917" s="464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str">
        <f t="shared" si="90"/>
        <v>SEVROLL Herkules sada kovania 60kg</v>
      </c>
      <c r="C2918" s="185" t="e">
        <f t="shared" si="91"/>
        <v>#N/A</v>
      </c>
      <c r="D2918" s="409" t="s">
        <v>3067</v>
      </c>
      <c r="E2918" s="409" t="s">
        <v>4746</v>
      </c>
      <c r="F2918" s="409" t="s">
        <v>1153</v>
      </c>
      <c r="G2918" s="409" t="s">
        <v>4747</v>
      </c>
      <c r="H2918" s="465" t="e">
        <v>#N/A</v>
      </c>
      <c r="I2918" s="465" t="e">
        <v>#N/A</v>
      </c>
      <c r="J2918" s="465" t="e">
        <v>#N/A</v>
      </c>
      <c r="K2918" s="465" t="e">
        <v>#N/A</v>
      </c>
      <c r="L2918" s="464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str">
        <f t="shared" si="90"/>
        <v>SEVROLL Herkules sada kovania 120kg</v>
      </c>
      <c r="C2919" s="185" t="e">
        <f t="shared" si="91"/>
        <v>#N/A</v>
      </c>
      <c r="D2919" s="409" t="s">
        <v>3068</v>
      </c>
      <c r="E2919" s="409" t="s">
        <v>4835</v>
      </c>
      <c r="F2919" s="409" t="s">
        <v>1160</v>
      </c>
      <c r="G2919" s="409" t="s">
        <v>4836</v>
      </c>
      <c r="H2919" s="465" t="e">
        <v>#N/A</v>
      </c>
      <c r="I2919" s="465" t="e">
        <v>#N/A</v>
      </c>
      <c r="J2919" s="465" t="e">
        <v>#N/A</v>
      </c>
      <c r="K2919" s="465" t="e">
        <v>#N/A</v>
      </c>
      <c r="L2919" s="464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Libra úchytová lišta 18mm 2,7m oliva</v>
      </c>
      <c r="C2920" s="185">
        <f t="shared" si="91"/>
        <v>16.368220000000001</v>
      </c>
      <c r="D2920" s="409" t="s">
        <v>3069</v>
      </c>
      <c r="E2920" s="409" t="s">
        <v>4231</v>
      </c>
      <c r="F2920" s="409" t="s">
        <v>4232</v>
      </c>
      <c r="G2920" s="409" t="s">
        <v>4233</v>
      </c>
      <c r="H2920" s="465">
        <v>450.32485000000003</v>
      </c>
      <c r="I2920" s="465">
        <v>16.368220000000001</v>
      </c>
      <c r="J2920" s="465">
        <v>54.908920000000002</v>
      </c>
      <c r="K2920" s="465">
        <v>6655.8276500000002</v>
      </c>
      <c r="L2920" s="464" t="s">
        <v>539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Fala úchytová lišta 10mm 2,70m oliva</v>
      </c>
      <c r="C2921" s="185">
        <f t="shared" si="91"/>
        <v>14.15629</v>
      </c>
      <c r="D2921" s="409" t="s">
        <v>3070</v>
      </c>
      <c r="E2921" s="409" t="s">
        <v>5225</v>
      </c>
      <c r="F2921" s="409" t="s">
        <v>1168</v>
      </c>
      <c r="G2921" s="409" t="s">
        <v>5226</v>
      </c>
      <c r="H2921" s="465">
        <v>389.47012999999998</v>
      </c>
      <c r="I2921" s="465">
        <v>14.15629</v>
      </c>
      <c r="J2921" s="465">
        <v>52.309190000000001</v>
      </c>
      <c r="K2921" s="465">
        <v>5756.3913000000002</v>
      </c>
      <c r="L2921" s="464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Polo úchytová lišta 10mm 2,7m oliva</v>
      </c>
      <c r="C2922" s="185">
        <f t="shared" si="91"/>
        <v>15.56151</v>
      </c>
      <c r="D2922" s="409" t="s">
        <v>3071</v>
      </c>
      <c r="E2922" s="409" t="s">
        <v>5468</v>
      </c>
      <c r="F2922" s="409" t="s">
        <v>1115</v>
      </c>
      <c r="G2922" s="409" t="s">
        <v>5469</v>
      </c>
      <c r="H2922" s="465">
        <v>428.13078000000002</v>
      </c>
      <c r="I2922" s="465">
        <v>15.56151</v>
      </c>
      <c r="J2922" s="465">
        <v>52.202739999999999</v>
      </c>
      <c r="K2922" s="465">
        <v>6327.7980399999997</v>
      </c>
      <c r="L2922" s="464" t="s">
        <v>695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Simple horné vedenie 6m oliva</v>
      </c>
      <c r="C2923" s="185">
        <f t="shared" si="91"/>
        <v>53.684620000000002</v>
      </c>
      <c r="D2923" s="409" t="s">
        <v>3072</v>
      </c>
      <c r="E2923" s="409" t="s">
        <v>4937</v>
      </c>
      <c r="F2923" s="409" t="s">
        <v>4938</v>
      </c>
      <c r="G2923" s="409" t="s">
        <v>4939</v>
      </c>
      <c r="H2923" s="465">
        <v>1476.97957</v>
      </c>
      <c r="I2923" s="465">
        <v>53.684620000000002</v>
      </c>
      <c r="J2923" s="465">
        <v>181.37522999999999</v>
      </c>
      <c r="K2923" s="465">
        <v>21829.844659999999</v>
      </c>
      <c r="L2923" s="464" t="s">
        <v>539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str">
        <f t="shared" si="90"/>
        <v>SEVROLL Simple spodné vedenie 6m oliva</v>
      </c>
      <c r="C2924" s="185" t="e">
        <f t="shared" si="91"/>
        <v>#N/A</v>
      </c>
      <c r="D2924" s="409" t="s">
        <v>3073</v>
      </c>
      <c r="E2924" s="409" t="s">
        <v>4620</v>
      </c>
      <c r="F2924" s="409" t="s">
        <v>4621</v>
      </c>
      <c r="G2924" s="409" t="s">
        <v>4622</v>
      </c>
      <c r="H2924" s="465" t="e">
        <v>#N/A</v>
      </c>
      <c r="I2924" s="465" t="e">
        <v>#N/A</v>
      </c>
      <c r="J2924" s="465" t="e">
        <v>#N/A</v>
      </c>
      <c r="K2924" s="465" t="e">
        <v>#N/A</v>
      </c>
      <c r="L2924" s="464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spojovacia lišta Simple/Blue H28 3m (pre lamino 18mm) oliva</v>
      </c>
      <c r="C2925" s="185">
        <f t="shared" si="91"/>
        <v>24.79954</v>
      </c>
      <c r="D2925" s="409" t="s">
        <v>3074</v>
      </c>
      <c r="E2925" s="409" t="s">
        <v>5595</v>
      </c>
      <c r="F2925" s="409" t="s">
        <v>5596</v>
      </c>
      <c r="G2925" s="409" t="s">
        <v>5597</v>
      </c>
      <c r="H2925" s="465">
        <v>682.28867000000002</v>
      </c>
      <c r="I2925" s="465">
        <v>24.79954</v>
      </c>
      <c r="J2925" s="465">
        <v>83.149019999999993</v>
      </c>
      <c r="K2925" s="465">
        <v>10084.266540000001</v>
      </c>
      <c r="L2925" s="464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horná vodiaca lišta Simple/Blue 3m (pre lamino 18mm) oliva</v>
      </c>
      <c r="C2926" s="185">
        <f t="shared" si="91"/>
        <v>12.85516</v>
      </c>
      <c r="D2926" s="409" t="s">
        <v>3075</v>
      </c>
      <c r="E2926" s="409" t="s">
        <v>5386</v>
      </c>
      <c r="F2926" s="409" t="s">
        <v>5387</v>
      </c>
      <c r="G2926" s="409" t="s">
        <v>5388</v>
      </c>
      <c r="H2926" s="465">
        <v>353.67324000000002</v>
      </c>
      <c r="I2926" s="465">
        <v>12.85516</v>
      </c>
      <c r="J2926" s="465">
        <v>57.532240000000002</v>
      </c>
      <c r="K2926" s="465">
        <v>5227.3112000000001</v>
      </c>
      <c r="L2926" s="464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spodná krycia lišta Simple/Blue 3m (pre lamino 18mm) oliva</v>
      </c>
      <c r="C2927" s="185">
        <f t="shared" si="91"/>
        <v>25.059760000000001</v>
      </c>
      <c r="D2927" s="409" t="s">
        <v>3076</v>
      </c>
      <c r="E2927" s="409" t="s">
        <v>5560</v>
      </c>
      <c r="F2927" s="409" t="s">
        <v>5561</v>
      </c>
      <c r="G2927" s="409" t="s">
        <v>5562</v>
      </c>
      <c r="H2927" s="465">
        <v>689.44804999999997</v>
      </c>
      <c r="I2927" s="465">
        <v>25.059760000000001</v>
      </c>
      <c r="J2927" s="465">
        <v>108.34688</v>
      </c>
      <c r="K2927" s="465">
        <v>10190.082549999999</v>
      </c>
      <c r="L2927" s="464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horná vodiaca lišta Simple/Blue 3m (pre lamino 10mm) oliva</v>
      </c>
      <c r="C2928" s="185">
        <f t="shared" si="91"/>
        <v>15.04106</v>
      </c>
      <c r="D2928" s="409" t="s">
        <v>3077</v>
      </c>
      <c r="E2928" s="409" t="s">
        <v>5366</v>
      </c>
      <c r="F2928" s="409" t="s">
        <v>5367</v>
      </c>
      <c r="G2928" s="409" t="s">
        <v>5368</v>
      </c>
      <c r="H2928" s="465">
        <v>413.81202999999999</v>
      </c>
      <c r="I2928" s="465">
        <v>15.04106</v>
      </c>
      <c r="J2928" s="465">
        <v>52.450780000000002</v>
      </c>
      <c r="K2928" s="465">
        <v>6116.1660000000002</v>
      </c>
      <c r="L2928" s="464" t="s">
        <v>695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spodná krycia lišta Simple/Blue 3m (pre lamino 10mm) oliva</v>
      </c>
      <c r="C2929" s="185">
        <f t="shared" si="91"/>
        <v>23.264199999999999</v>
      </c>
      <c r="D2929" s="409" t="s">
        <v>3078</v>
      </c>
      <c r="E2929" s="409" t="s">
        <v>5539</v>
      </c>
      <c r="F2929" s="409" t="s">
        <v>5540</v>
      </c>
      <c r="G2929" s="409" t="s">
        <v>5541</v>
      </c>
      <c r="H2929" s="465">
        <v>640.04834000000005</v>
      </c>
      <c r="I2929" s="465">
        <v>23.264199999999999</v>
      </c>
      <c r="J2929" s="465">
        <v>78.802019999999999</v>
      </c>
      <c r="K2929" s="465">
        <v>9459.9519600000003</v>
      </c>
      <c r="L2929" s="464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spona dorazovej kefky</v>
      </c>
      <c r="C2930" s="185">
        <f t="shared" si="91"/>
        <v>7.8070000000000001E-2</v>
      </c>
      <c r="D2930" s="409" t="s">
        <v>3079</v>
      </c>
      <c r="E2930" s="409" t="s">
        <v>6189</v>
      </c>
      <c r="F2930" s="409" t="s">
        <v>6190</v>
      </c>
      <c r="G2930" s="409" t="s">
        <v>6191</v>
      </c>
      <c r="H2930" s="465">
        <v>2.3040099999999999</v>
      </c>
      <c r="I2930" s="465">
        <v>7.8070000000000001E-2</v>
      </c>
      <c r="J2930" s="465">
        <v>0.23857999999999999</v>
      </c>
      <c r="K2930" s="465">
        <v>31.99663</v>
      </c>
      <c r="L2930" s="464" t="s">
        <v>695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Karat úch.lišta 2,7m str</v>
      </c>
      <c r="C2931" s="185">
        <f t="shared" si="91"/>
        <v>22.067160000000001</v>
      </c>
      <c r="D2931" s="409" t="s">
        <v>3080</v>
      </c>
      <c r="E2931" s="409" t="s">
        <v>4636</v>
      </c>
      <c r="F2931" s="409" t="s">
        <v>1234</v>
      </c>
      <c r="G2931" s="409" t="s">
        <v>4637</v>
      </c>
      <c r="H2931" s="465">
        <v>613.73829000000001</v>
      </c>
      <c r="I2931" s="465">
        <v>22.067160000000001</v>
      </c>
      <c r="J2931" s="465">
        <v>78.988799999999998</v>
      </c>
      <c r="K2931" s="465">
        <v>8795.1588800000009</v>
      </c>
      <c r="L2931" s="464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karat úchytová lišta 2,7m oliva</v>
      </c>
      <c r="C2932" s="185">
        <f t="shared" si="91"/>
        <v>27.583960000000001</v>
      </c>
      <c r="D2932" s="409" t="s">
        <v>3081</v>
      </c>
      <c r="E2932" s="409" t="s">
        <v>4676</v>
      </c>
      <c r="F2932" s="409" t="s">
        <v>1144</v>
      </c>
      <c r="G2932" s="409" t="s">
        <v>4677</v>
      </c>
      <c r="H2932" s="465">
        <v>767.17286000000001</v>
      </c>
      <c r="I2932" s="465">
        <v>27.583960000000001</v>
      </c>
      <c r="J2932" s="465">
        <v>94.854230000000001</v>
      </c>
      <c r="K2932" s="465">
        <v>10993.948490000001</v>
      </c>
      <c r="L2932" s="464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Simple horné vedenie 1,5m strieborná</v>
      </c>
      <c r="C2933" s="185">
        <f t="shared" si="91"/>
        <v>12.359640000000001</v>
      </c>
      <c r="D2933" s="409" t="s">
        <v>3082</v>
      </c>
      <c r="E2933" s="409" t="s">
        <v>4070</v>
      </c>
      <c r="F2933" s="409" t="s">
        <v>1051</v>
      </c>
      <c r="G2933" s="409" t="s">
        <v>4071</v>
      </c>
      <c r="H2933" s="465">
        <v>278.66025000000002</v>
      </c>
      <c r="I2933" s="465">
        <v>12.359640000000001</v>
      </c>
      <c r="J2933" s="465">
        <v>41.814579999999999</v>
      </c>
      <c r="K2933" s="465">
        <v>4753.7065499999999</v>
      </c>
      <c r="L2933" s="464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Simple horné vedenie 2m strieborná</v>
      </c>
      <c r="C2934" s="185">
        <f t="shared" si="91"/>
        <v>14.312430000000001</v>
      </c>
      <c r="D2934" s="409" t="s">
        <v>3083</v>
      </c>
      <c r="E2934" s="409" t="s">
        <v>4275</v>
      </c>
      <c r="F2934" s="409" t="s">
        <v>1050</v>
      </c>
      <c r="G2934" s="409" t="s">
        <v>4276</v>
      </c>
      <c r="H2934" s="465">
        <v>393.76576</v>
      </c>
      <c r="I2934" s="465">
        <v>14.312430000000001</v>
      </c>
      <c r="J2934" s="465">
        <v>52.592370000000003</v>
      </c>
      <c r="K2934" s="465">
        <v>5819.8810599999997</v>
      </c>
      <c r="L2934" s="464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Simple horné vedenie 2,5m strieborná</v>
      </c>
      <c r="C2935" s="185">
        <f t="shared" si="91"/>
        <v>17.903549999999999</v>
      </c>
      <c r="D2935" s="409" t="s">
        <v>3084</v>
      </c>
      <c r="E2935" s="409" t="s">
        <v>4395</v>
      </c>
      <c r="F2935" s="409" t="s">
        <v>4396</v>
      </c>
      <c r="G2935" s="409" t="s">
        <v>4397</v>
      </c>
      <c r="H2935" s="465">
        <v>492.56518</v>
      </c>
      <c r="I2935" s="465">
        <v>17.903549999999999</v>
      </c>
      <c r="J2935" s="465">
        <v>65.697199999999995</v>
      </c>
      <c r="K2935" s="465">
        <v>7280.14221</v>
      </c>
      <c r="L2935" s="464" t="s">
        <v>539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Simple horné vedene 3m strieborná</v>
      </c>
      <c r="C2936" s="185">
        <f t="shared" si="91"/>
        <v>21.46865</v>
      </c>
      <c r="D2936" s="409" t="s">
        <v>3085</v>
      </c>
      <c r="E2936" s="409" t="s">
        <v>4519</v>
      </c>
      <c r="F2936" s="409" t="s">
        <v>4520</v>
      </c>
      <c r="G2936" s="409" t="s">
        <v>4521</v>
      </c>
      <c r="H2936" s="465">
        <v>590.64865999999995</v>
      </c>
      <c r="I2936" s="465">
        <v>21.46865</v>
      </c>
      <c r="J2936" s="465">
        <v>78.849220000000003</v>
      </c>
      <c r="K2936" s="465">
        <v>8729.8217999999997</v>
      </c>
      <c r="L2936" s="464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Simple horné vedenie 4m strieborná</v>
      </c>
      <c r="C2937" s="185">
        <f t="shared" si="91"/>
        <v>28.624860000000002</v>
      </c>
      <c r="D2937" s="409" t="s">
        <v>3086</v>
      </c>
      <c r="E2937" s="409" t="s">
        <v>4706</v>
      </c>
      <c r="F2937" s="409" t="s">
        <v>1049</v>
      </c>
      <c r="G2937" s="409" t="s">
        <v>4707</v>
      </c>
      <c r="H2937" s="465">
        <v>787.53152999999998</v>
      </c>
      <c r="I2937" s="465">
        <v>28.624860000000002</v>
      </c>
      <c r="J2937" s="465">
        <v>105.13754</v>
      </c>
      <c r="K2937" s="465">
        <v>11639.762140000001</v>
      </c>
      <c r="L2937" s="464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Simple spodné vedenie 1,5m strieborn</v>
      </c>
      <c r="C2938" s="185">
        <f t="shared" si="91"/>
        <v>6.5023600000000004</v>
      </c>
      <c r="D2938" s="409" t="s">
        <v>3087</v>
      </c>
      <c r="E2938" s="409" t="s">
        <v>3742</v>
      </c>
      <c r="F2938" s="409" t="s">
        <v>1047</v>
      </c>
      <c r="G2938" s="409" t="s">
        <v>3743</v>
      </c>
      <c r="H2938" s="465">
        <v>150.12</v>
      </c>
      <c r="I2938" s="465">
        <v>6.5023600000000004</v>
      </c>
      <c r="J2938" s="465">
        <v>21.998480000000001</v>
      </c>
      <c r="K2938" s="465">
        <v>2500.9061700000002</v>
      </c>
      <c r="L2938" s="464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Simple spodné vedenie 2m strieborná</v>
      </c>
      <c r="C2939" s="185">
        <f t="shared" si="91"/>
        <v>7.6766699999999997</v>
      </c>
      <c r="D2939" s="409" t="s">
        <v>3088</v>
      </c>
      <c r="E2939" s="409" t="s">
        <v>3855</v>
      </c>
      <c r="F2939" s="409" t="s">
        <v>3856</v>
      </c>
      <c r="G2939" s="409" t="s">
        <v>3857</v>
      </c>
      <c r="H2939" s="465">
        <v>211.20165</v>
      </c>
      <c r="I2939" s="465">
        <v>7.6766699999999997</v>
      </c>
      <c r="J2939" s="465">
        <v>27.562619999999999</v>
      </c>
      <c r="K2939" s="465">
        <v>3121.5727900000002</v>
      </c>
      <c r="L2939" s="464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Simple spodné vedenie 2,5m strieborná</v>
      </c>
      <c r="C2940" s="185">
        <f t="shared" si="91"/>
        <v>9.5242699999999996</v>
      </c>
      <c r="D2940" s="409" t="s">
        <v>3089</v>
      </c>
      <c r="E2940" s="409" t="s">
        <v>4005</v>
      </c>
      <c r="F2940" s="409" t="s">
        <v>4006</v>
      </c>
      <c r="G2940" s="409" t="s">
        <v>4007</v>
      </c>
      <c r="H2940" s="465">
        <v>262.03323</v>
      </c>
      <c r="I2940" s="465">
        <v>9.5242699999999996</v>
      </c>
      <c r="J2940" s="465">
        <v>34.437539999999998</v>
      </c>
      <c r="K2940" s="465">
        <v>3872.8664600000002</v>
      </c>
      <c r="L2940" s="464" t="s">
        <v>539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Simple spodné vedenie 3m strieborná</v>
      </c>
      <c r="C2941" s="185">
        <f t="shared" si="91"/>
        <v>11.21574</v>
      </c>
      <c r="D2941" s="409" t="s">
        <v>3090</v>
      </c>
      <c r="E2941" s="409" t="s">
        <v>4097</v>
      </c>
      <c r="F2941" s="409" t="s">
        <v>4098</v>
      </c>
      <c r="G2941" s="409" t="s">
        <v>4099</v>
      </c>
      <c r="H2941" s="465">
        <v>308.56916999999999</v>
      </c>
      <c r="I2941" s="465">
        <v>11.21574</v>
      </c>
      <c r="J2941" s="465">
        <v>41.375390000000003</v>
      </c>
      <c r="K2941" s="465">
        <v>4560.6704</v>
      </c>
      <c r="L2941" s="464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Simple spodné vedenie 4m strieborná</v>
      </c>
      <c r="C2942" s="185">
        <f t="shared" si="91"/>
        <v>15.015040000000001</v>
      </c>
      <c r="D2942" s="409" t="s">
        <v>3091</v>
      </c>
      <c r="E2942" s="409" t="s">
        <v>4301</v>
      </c>
      <c r="F2942" s="409" t="s">
        <v>4302</v>
      </c>
      <c r="G2942" s="409" t="s">
        <v>4303</v>
      </c>
      <c r="H2942" s="465">
        <v>413.09609</v>
      </c>
      <c r="I2942" s="465">
        <v>15.015040000000001</v>
      </c>
      <c r="J2942" s="465">
        <v>55.125230000000002</v>
      </c>
      <c r="K2942" s="465">
        <v>6105.5844399999996</v>
      </c>
      <c r="L2942" s="464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str">
        <f t="shared" si="90"/>
        <v>SEVROLL Simple horné vedenie 1,5m oliva</v>
      </c>
      <c r="C2943" s="185" t="e">
        <f t="shared" si="91"/>
        <v>#N/A</v>
      </c>
      <c r="D2943" s="409" t="s">
        <v>3092</v>
      </c>
      <c r="E2943" s="409" t="s">
        <v>4125</v>
      </c>
      <c r="F2943" s="409" t="s">
        <v>4126</v>
      </c>
      <c r="G2943" s="409" t="s">
        <v>4127</v>
      </c>
      <c r="H2943" s="465" t="e">
        <v>#N/A</v>
      </c>
      <c r="I2943" s="465" t="e">
        <v>#N/A</v>
      </c>
      <c r="J2943" s="465" t="e">
        <v>#N/A</v>
      </c>
      <c r="K2943" s="465" t="e">
        <v>#N/A</v>
      </c>
      <c r="L2943" s="464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str">
        <f t="shared" si="90"/>
        <v>SEVROLL Simple horné vedenie 2m oliva</v>
      </c>
      <c r="C2944" s="185" t="e">
        <f t="shared" si="91"/>
        <v>#N/A</v>
      </c>
      <c r="D2944" s="409" t="s">
        <v>3093</v>
      </c>
      <c r="E2944" s="409" t="s">
        <v>4331</v>
      </c>
      <c r="F2944" s="409" t="s">
        <v>4332</v>
      </c>
      <c r="G2944" s="409" t="s">
        <v>4333</v>
      </c>
      <c r="H2944" s="465" t="e">
        <v>#N/A</v>
      </c>
      <c r="I2944" s="465" t="e">
        <v>#N/A</v>
      </c>
      <c r="J2944" s="465" t="e">
        <v>#N/A</v>
      </c>
      <c r="K2944" s="465" t="e">
        <v>#N/A</v>
      </c>
      <c r="L2944" s="464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str">
        <f t="shared" si="90"/>
        <v>SEVROLL Simple horné vedenie 2,5m oliva</v>
      </c>
      <c r="C2945" s="185" t="e">
        <f t="shared" si="91"/>
        <v>#N/A</v>
      </c>
      <c r="D2945" s="409" t="s">
        <v>3094</v>
      </c>
      <c r="E2945" s="409" t="s">
        <v>4495</v>
      </c>
      <c r="F2945" s="409" t="s">
        <v>4496</v>
      </c>
      <c r="G2945" s="409" t="s">
        <v>4497</v>
      </c>
      <c r="H2945" s="465" t="e">
        <v>#N/A</v>
      </c>
      <c r="I2945" s="465" t="e">
        <v>#N/A</v>
      </c>
      <c r="J2945" s="465" t="e">
        <v>#N/A</v>
      </c>
      <c r="K2945" s="465" t="e">
        <v>#N/A</v>
      </c>
      <c r="L2945" s="464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str">
        <f t="shared" si="90"/>
        <v>SEVROLL Simple horné vedenie 3m oliva</v>
      </c>
      <c r="C2946" s="185" t="e">
        <f t="shared" si="91"/>
        <v>#N/A</v>
      </c>
      <c r="D2946" s="409" t="s">
        <v>3095</v>
      </c>
      <c r="E2946" s="409" t="s">
        <v>4579</v>
      </c>
      <c r="F2946" s="409" t="s">
        <v>4580</v>
      </c>
      <c r="G2946" s="409" t="s">
        <v>4581</v>
      </c>
      <c r="H2946" s="465" t="e">
        <v>#N/A</v>
      </c>
      <c r="I2946" s="465" t="e">
        <v>#N/A</v>
      </c>
      <c r="J2946" s="465" t="e">
        <v>#N/A</v>
      </c>
      <c r="K2946" s="465" t="e">
        <v>#N/A</v>
      </c>
      <c r="L2946" s="464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str">
        <f t="shared" si="90"/>
        <v>SEVROLL Simple horné vedenie 4m oliva</v>
      </c>
      <c r="C2947" s="185" t="e">
        <f t="shared" si="91"/>
        <v>#N/A</v>
      </c>
      <c r="D2947" s="409" t="s">
        <v>3096</v>
      </c>
      <c r="E2947" s="409" t="s">
        <v>4763</v>
      </c>
      <c r="F2947" s="409" t="s">
        <v>4764</v>
      </c>
      <c r="G2947" s="409" t="s">
        <v>4765</v>
      </c>
      <c r="H2947" s="465" t="e">
        <v>#N/A</v>
      </c>
      <c r="I2947" s="465" t="e">
        <v>#N/A</v>
      </c>
      <c r="J2947" s="465" t="e">
        <v>#N/A</v>
      </c>
      <c r="K2947" s="465" t="e">
        <v>#N/A</v>
      </c>
      <c r="L2947" s="464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str">
        <f t="shared" ref="B2948:B3011" si="92">IF($A$2=1,D2948,IF($A$2=2,F2948,IF($A$2=3,G2948,IF($A$2=4,E2948,IF($A$2&gt;4,P2948,"zadat jazyk")))))</f>
        <v>SEVROLL Simple spodné vedenie 1,5m oliva</v>
      </c>
      <c r="C2948" s="185" t="e">
        <f t="shared" ref="C2948:C3011" si="93">IF($A$2=1,H2948,IF($A$2=2,I2948,IF($A$2=3,J2948,IF($A$2=4,K2948,IF($A$2&gt;4,O2948,"zadat jazyk")))))</f>
        <v>#N/A</v>
      </c>
      <c r="D2948" s="409" t="s">
        <v>3097</v>
      </c>
      <c r="E2948" s="409" t="s">
        <v>3776</v>
      </c>
      <c r="F2948" s="409" t="s">
        <v>3777</v>
      </c>
      <c r="G2948" s="409" t="s">
        <v>3778</v>
      </c>
      <c r="H2948" s="465" t="e">
        <v>#N/A</v>
      </c>
      <c r="I2948" s="465" t="e">
        <v>#N/A</v>
      </c>
      <c r="J2948" s="465" t="e">
        <v>#N/A</v>
      </c>
      <c r="K2948" s="465" t="e">
        <v>#N/A</v>
      </c>
      <c r="L2948" s="464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str">
        <f t="shared" si="92"/>
        <v>SEVROLL Simple spodné vedenie 2m oliva</v>
      </c>
      <c r="C2949" s="185" t="e">
        <f t="shared" si="93"/>
        <v>#N/A</v>
      </c>
      <c r="D2949" s="409" t="s">
        <v>3098</v>
      </c>
      <c r="E2949" s="409" t="s">
        <v>3915</v>
      </c>
      <c r="F2949" s="409" t="s">
        <v>3916</v>
      </c>
      <c r="G2949" s="409" t="s">
        <v>3917</v>
      </c>
      <c r="H2949" s="465" t="e">
        <v>#N/A</v>
      </c>
      <c r="I2949" s="465" t="e">
        <v>#N/A</v>
      </c>
      <c r="J2949" s="465" t="e">
        <v>#N/A</v>
      </c>
      <c r="K2949" s="465" t="e">
        <v>#N/A</v>
      </c>
      <c r="L2949" s="464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str">
        <f t="shared" si="92"/>
        <v>SEVROLL Simple spodné vedenie 2,5m oliva</v>
      </c>
      <c r="C2950" s="185" t="e">
        <f t="shared" si="93"/>
        <v>#N/A</v>
      </c>
      <c r="D2950" s="409" t="s">
        <v>3099</v>
      </c>
      <c r="E2950" s="409" t="s">
        <v>4090</v>
      </c>
      <c r="F2950" s="409" t="s">
        <v>4091</v>
      </c>
      <c r="G2950" s="409" t="s">
        <v>4092</v>
      </c>
      <c r="H2950" s="465" t="e">
        <v>#N/A</v>
      </c>
      <c r="I2950" s="465" t="e">
        <v>#N/A</v>
      </c>
      <c r="J2950" s="465" t="e">
        <v>#N/A</v>
      </c>
      <c r="K2950" s="465" t="e">
        <v>#N/A</v>
      </c>
      <c r="L2950" s="464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str">
        <f t="shared" si="92"/>
        <v>SEVROLL Simple spodné vedenie 3m oliva</v>
      </c>
      <c r="C2951" s="185" t="e">
        <f t="shared" si="93"/>
        <v>#N/A</v>
      </c>
      <c r="D2951" s="409" t="s">
        <v>3100</v>
      </c>
      <c r="E2951" s="409" t="s">
        <v>4139</v>
      </c>
      <c r="F2951" s="409" t="s">
        <v>4140</v>
      </c>
      <c r="G2951" s="409" t="s">
        <v>4141</v>
      </c>
      <c r="H2951" s="465" t="e">
        <v>#N/A</v>
      </c>
      <c r="I2951" s="465" t="e">
        <v>#N/A</v>
      </c>
      <c r="J2951" s="465" t="e">
        <v>#N/A</v>
      </c>
      <c r="K2951" s="465" t="e">
        <v>#N/A</v>
      </c>
      <c r="L2951" s="464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str">
        <f t="shared" si="92"/>
        <v>SEVROLL Simple spodné vedenie 4m oliva</v>
      </c>
      <c r="C2952" s="185" t="e">
        <f t="shared" si="93"/>
        <v>#N/A</v>
      </c>
      <c r="D2952" s="409" t="s">
        <v>3101</v>
      </c>
      <c r="E2952" s="409" t="s">
        <v>4357</v>
      </c>
      <c r="F2952" s="409" t="s">
        <v>4358</v>
      </c>
      <c r="G2952" s="409" t="s">
        <v>4359</v>
      </c>
      <c r="H2952" s="465" t="e">
        <v>#N/A</v>
      </c>
      <c r="I2952" s="465" t="e">
        <v>#N/A</v>
      </c>
      <c r="J2952" s="465" t="e">
        <v>#N/A</v>
      </c>
      <c r="K2952" s="465" t="e">
        <v>#N/A</v>
      </c>
      <c r="L2952" s="464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horná vodiaca lišta Simple/Blue 1,5m (pre lamino 18mm) strieborná</v>
      </c>
      <c r="C2953" s="185">
        <f t="shared" si="93"/>
        <v>5.2045199999999996</v>
      </c>
      <c r="D2953" s="409" t="s">
        <v>3102</v>
      </c>
      <c r="E2953" s="409" t="s">
        <v>5372</v>
      </c>
      <c r="F2953" s="409" t="s">
        <v>5373</v>
      </c>
      <c r="G2953" s="409" t="s">
        <v>2479</v>
      </c>
      <c r="H2953" s="465">
        <v>143.18754999999999</v>
      </c>
      <c r="I2953" s="465">
        <v>5.2045199999999996</v>
      </c>
      <c r="J2953" s="465">
        <v>24.998290000000001</v>
      </c>
      <c r="K2953" s="465">
        <v>2116.3203899999999</v>
      </c>
      <c r="L2953" s="464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horná vodiaca lišta Simple/Blue 2m (pre lamino 18mm) strieborná</v>
      </c>
      <c r="C2954" s="185">
        <f t="shared" si="93"/>
        <v>6.9220100000000002</v>
      </c>
      <c r="D2954" s="409" t="s">
        <v>3103</v>
      </c>
      <c r="E2954" s="409" t="s">
        <v>5383</v>
      </c>
      <c r="F2954" s="409" t="s">
        <v>5384</v>
      </c>
      <c r="G2954" s="409" t="s">
        <v>5385</v>
      </c>
      <c r="H2954" s="465">
        <v>190.43944999999999</v>
      </c>
      <c r="I2954" s="465">
        <v>6.9220100000000002</v>
      </c>
      <c r="J2954" s="465">
        <v>33.336289999999998</v>
      </c>
      <c r="K2954" s="465">
        <v>2814.7062900000001</v>
      </c>
      <c r="L2954" s="464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horná vodiaca lišta Simple/Blue 2,5m (pre lamino 18mm) strieborná</v>
      </c>
      <c r="C2955" s="185">
        <f t="shared" si="93"/>
        <v>8.6655300000000004</v>
      </c>
      <c r="D2955" s="409" t="s">
        <v>3104</v>
      </c>
      <c r="E2955" s="409" t="s">
        <v>5377</v>
      </c>
      <c r="F2955" s="409" t="s">
        <v>5378</v>
      </c>
      <c r="G2955" s="409" t="s">
        <v>5379</v>
      </c>
      <c r="H2955" s="465">
        <v>238.40726000000001</v>
      </c>
      <c r="I2955" s="465">
        <v>8.6655300000000004</v>
      </c>
      <c r="J2955" s="465">
        <v>41.658569999999997</v>
      </c>
      <c r="K2955" s="465">
        <v>3523.6733399999998</v>
      </c>
      <c r="L2955" s="464" t="s">
        <v>539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horná vodiaca lišta Simple/Blue 2m (pre lamino 18mm) oliva</v>
      </c>
      <c r="C2956" s="185">
        <f t="shared" si="93"/>
        <v>8.5874600000000001</v>
      </c>
      <c r="D2956" s="409" t="s">
        <v>3105</v>
      </c>
      <c r="E2956" s="409" t="s">
        <v>5380</v>
      </c>
      <c r="F2956" s="409" t="s">
        <v>5381</v>
      </c>
      <c r="G2956" s="409" t="s">
        <v>5382</v>
      </c>
      <c r="H2956" s="465">
        <v>236.25945999999999</v>
      </c>
      <c r="I2956" s="465">
        <v>8.5874600000000001</v>
      </c>
      <c r="J2956" s="465">
        <v>38.323360000000001</v>
      </c>
      <c r="K2956" s="465">
        <v>3491.9286400000001</v>
      </c>
      <c r="L2956" s="464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horná vodiaca lišta Simple/Blue 2,5m (pre lamino 18mm) oliva</v>
      </c>
      <c r="C2957" s="185">
        <f t="shared" si="93"/>
        <v>0</v>
      </c>
      <c r="D2957" s="409" t="s">
        <v>3106</v>
      </c>
      <c r="E2957" s="409" t="s">
        <v>5374</v>
      </c>
      <c r="F2957" s="409" t="s">
        <v>5375</v>
      </c>
      <c r="G2957" s="409" t="s">
        <v>5376</v>
      </c>
      <c r="H2957" s="465">
        <v>0</v>
      </c>
      <c r="I2957" s="465">
        <v>0</v>
      </c>
      <c r="J2957" s="465">
        <v>27.547039999999999</v>
      </c>
      <c r="K2957" s="465">
        <v>0</v>
      </c>
      <c r="L2957" s="464" t="s">
        <v>539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spodná krycia lišta Simple/Blue 1,5m (pre lamino 18mm) strieborná</v>
      </c>
      <c r="C2958" s="185">
        <f t="shared" si="93"/>
        <v>10.12279</v>
      </c>
      <c r="D2958" s="409" t="s">
        <v>3107</v>
      </c>
      <c r="E2958" s="409" t="s">
        <v>5545</v>
      </c>
      <c r="F2958" s="409" t="s">
        <v>5546</v>
      </c>
      <c r="G2958" s="409" t="s">
        <v>5547</v>
      </c>
      <c r="H2958" s="465">
        <v>278.49979000000002</v>
      </c>
      <c r="I2958" s="465">
        <v>10.12279</v>
      </c>
      <c r="J2958" s="465">
        <v>48.17165</v>
      </c>
      <c r="K2958" s="465">
        <v>4116.2431999999999</v>
      </c>
      <c r="L2958" s="464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spodná krycia lišta Simple/Blue 2m (pre lamino 18mm) strieborná</v>
      </c>
      <c r="C2959" s="185">
        <f t="shared" si="93"/>
        <v>13.479710000000001</v>
      </c>
      <c r="D2959" s="409" t="s">
        <v>3108</v>
      </c>
      <c r="E2959" s="409" t="s">
        <v>5557</v>
      </c>
      <c r="F2959" s="409" t="s">
        <v>5558</v>
      </c>
      <c r="G2959" s="409" t="s">
        <v>5559</v>
      </c>
      <c r="H2959" s="465">
        <v>370.85575999999998</v>
      </c>
      <c r="I2959" s="465">
        <v>13.479710000000001</v>
      </c>
      <c r="J2959" s="465">
        <v>64.234110000000001</v>
      </c>
      <c r="K2959" s="465">
        <v>5481.2698899999996</v>
      </c>
      <c r="L2959" s="464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spodná krycia lišta Simple/Blue 2,5m (pre lamino 18mm) strieborná</v>
      </c>
      <c r="C2960" s="185">
        <f t="shared" si="93"/>
        <v>16.862639999999999</v>
      </c>
      <c r="D2960" s="409" t="s">
        <v>3109</v>
      </c>
      <c r="E2960" s="409" t="s">
        <v>5551</v>
      </c>
      <c r="F2960" s="409" t="s">
        <v>5552</v>
      </c>
      <c r="G2960" s="409" t="s">
        <v>5553</v>
      </c>
      <c r="H2960" s="465">
        <v>463.92766999999998</v>
      </c>
      <c r="I2960" s="465">
        <v>16.862639999999999</v>
      </c>
      <c r="J2960" s="465">
        <v>80.296570000000003</v>
      </c>
      <c r="K2960" s="465">
        <v>6856.8781399999998</v>
      </c>
      <c r="L2960" s="464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spodná krycia lišta Simple/Blue 2m (pre lamino 18mm) oliva</v>
      </c>
      <c r="C2961" s="185">
        <f t="shared" si="93"/>
        <v>16.706510000000002</v>
      </c>
      <c r="D2961" s="409" t="s">
        <v>3110</v>
      </c>
      <c r="E2961" s="409" t="s">
        <v>5554</v>
      </c>
      <c r="F2961" s="409" t="s">
        <v>5555</v>
      </c>
      <c r="G2961" s="409" t="s">
        <v>5556</v>
      </c>
      <c r="H2961" s="465">
        <v>459.63202999999999</v>
      </c>
      <c r="I2961" s="465">
        <v>16.706510000000002</v>
      </c>
      <c r="J2961" s="465">
        <v>72.241739999999993</v>
      </c>
      <c r="K2961" s="465">
        <v>6793.3883599999999</v>
      </c>
      <c r="L2961" s="464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spodná krycia lišta Simple/Blue 2,5m (pre lamino 18mm) oliva</v>
      </c>
      <c r="C2962" s="185">
        <f t="shared" si="93"/>
        <v>0</v>
      </c>
      <c r="D2962" s="409" t="s">
        <v>3111</v>
      </c>
      <c r="E2962" s="409" t="s">
        <v>5548</v>
      </c>
      <c r="F2962" s="409" t="s">
        <v>5549</v>
      </c>
      <c r="G2962" s="409" t="s">
        <v>5550</v>
      </c>
      <c r="H2962" s="465">
        <v>0</v>
      </c>
      <c r="I2962" s="465">
        <v>0</v>
      </c>
      <c r="J2962" s="465">
        <v>58.638979999999997</v>
      </c>
      <c r="K2962" s="465">
        <v>0</v>
      </c>
      <c r="L2962" s="464" t="s">
        <v>539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horná vodiaca lišta Simple/Blue 1,5m( pre lamino 10mm)strieborná</v>
      </c>
      <c r="C2963" s="185">
        <f t="shared" si="93"/>
        <v>6.0112199999999998</v>
      </c>
      <c r="D2963" s="409" t="s">
        <v>3112</v>
      </c>
      <c r="E2963" s="409" t="s">
        <v>3773</v>
      </c>
      <c r="F2963" s="409" t="s">
        <v>3774</v>
      </c>
      <c r="G2963" s="409" t="s">
        <v>3775</v>
      </c>
      <c r="H2963" s="465">
        <v>165.38162</v>
      </c>
      <c r="I2963" s="465">
        <v>6.0112199999999998</v>
      </c>
      <c r="J2963" s="465">
        <v>22.79579</v>
      </c>
      <c r="K2963" s="465">
        <v>2444.35</v>
      </c>
      <c r="L2963" s="464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horná vodiaca lišta Simple/Blue 2m(pre lamino 10mm)strieborná</v>
      </c>
      <c r="C2964" s="185">
        <f t="shared" si="93"/>
        <v>8.0149600000000003</v>
      </c>
      <c r="D2964" s="409" t="s">
        <v>3113</v>
      </c>
      <c r="E2964" s="409" t="s">
        <v>3912</v>
      </c>
      <c r="F2964" s="409" t="s">
        <v>3913</v>
      </c>
      <c r="G2964" s="409" t="s">
        <v>3914</v>
      </c>
      <c r="H2964" s="465">
        <v>220.50882999999999</v>
      </c>
      <c r="I2964" s="465">
        <v>8.0149600000000003</v>
      </c>
      <c r="J2964" s="465">
        <v>30.410119999999999</v>
      </c>
      <c r="K2964" s="465">
        <v>3259.1334900000002</v>
      </c>
      <c r="L2964" s="464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horná vodiaca lišta Simple/Blue 2,5m (pre lamino 10mm) strieborná</v>
      </c>
      <c r="C2965" s="185">
        <f t="shared" si="93"/>
        <v>10.018700000000001</v>
      </c>
      <c r="D2965" s="409" t="s">
        <v>3114</v>
      </c>
      <c r="E2965" s="409" t="s">
        <v>4017</v>
      </c>
      <c r="F2965" s="409" t="s">
        <v>4018</v>
      </c>
      <c r="G2965" s="409" t="s">
        <v>4019</v>
      </c>
      <c r="H2965" s="465">
        <v>275.63605000000001</v>
      </c>
      <c r="I2965" s="465">
        <v>10.018700000000001</v>
      </c>
      <c r="J2965" s="465">
        <v>38.008719999999997</v>
      </c>
      <c r="K2965" s="465">
        <v>4073.9169499999998</v>
      </c>
      <c r="L2965" s="464" t="s">
        <v>539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str">
        <f t="shared" si="92"/>
        <v>SEVROLL 03758 horná vodiaca lišta Simple/Blue 1,5m (pre lamino 10mm) oliva</v>
      </c>
      <c r="C2966" s="185" t="e">
        <f t="shared" si="93"/>
        <v>#N/A</v>
      </c>
      <c r="D2966" s="409" t="s">
        <v>3115</v>
      </c>
      <c r="E2966" s="409" t="s">
        <v>5357</v>
      </c>
      <c r="F2966" s="409" t="s">
        <v>5358</v>
      </c>
      <c r="G2966" s="409" t="s">
        <v>5359</v>
      </c>
      <c r="H2966" s="465" t="e">
        <v>#N/A</v>
      </c>
      <c r="I2966" s="465" t="e">
        <v>#N/A</v>
      </c>
      <c r="J2966" s="465" t="e">
        <v>#N/A</v>
      </c>
      <c r="K2966" s="465" t="e">
        <v>#N/A</v>
      </c>
      <c r="L2966" s="464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str">
        <f t="shared" si="92"/>
        <v>SEVROLL 03759 horná vodiaca lišta Simple/Blue 2m (pre lamino 10mm) oliva</v>
      </c>
      <c r="C2967" s="185" t="e">
        <f t="shared" si="93"/>
        <v>#N/A</v>
      </c>
      <c r="D2967" s="409" t="s">
        <v>3116</v>
      </c>
      <c r="E2967" s="409" t="s">
        <v>5363</v>
      </c>
      <c r="F2967" s="409" t="s">
        <v>5364</v>
      </c>
      <c r="G2967" s="409" t="s">
        <v>5365</v>
      </c>
      <c r="H2967" s="465" t="e">
        <v>#N/A</v>
      </c>
      <c r="I2967" s="465" t="e">
        <v>#N/A</v>
      </c>
      <c r="J2967" s="465" t="e">
        <v>#N/A</v>
      </c>
      <c r="K2967" s="465" t="e">
        <v>#N/A</v>
      </c>
      <c r="L2967" s="464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str">
        <f t="shared" si="92"/>
        <v>SEVROLL 03760 horná vodiaca lišta Simple/Blue 2,5m (pre lamino 10mm) oliva</v>
      </c>
      <c r="C2968" s="185" t="e">
        <f t="shared" si="93"/>
        <v>#N/A</v>
      </c>
      <c r="D2968" s="409" t="s">
        <v>3117</v>
      </c>
      <c r="E2968" s="409" t="s">
        <v>5360</v>
      </c>
      <c r="F2968" s="409" t="s">
        <v>5361</v>
      </c>
      <c r="G2968" s="409" t="s">
        <v>5362</v>
      </c>
      <c r="H2968" s="465" t="e">
        <v>#N/A</v>
      </c>
      <c r="I2968" s="465" t="e">
        <v>#N/A</v>
      </c>
      <c r="J2968" s="465" t="e">
        <v>#N/A</v>
      </c>
      <c r="K2968" s="465" t="e">
        <v>#N/A</v>
      </c>
      <c r="L2968" s="464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spodná krycia lišta Simple/Blue 1,5m (pre lamino 10mm) strieborná</v>
      </c>
      <c r="C2969" s="185">
        <f t="shared" si="93"/>
        <v>10.04472</v>
      </c>
      <c r="D2969" s="409" t="s">
        <v>3118</v>
      </c>
      <c r="E2969" s="409" t="s">
        <v>4020</v>
      </c>
      <c r="F2969" s="409" t="s">
        <v>4021</v>
      </c>
      <c r="G2969" s="409" t="s">
        <v>4022</v>
      </c>
      <c r="H2969" s="465">
        <v>276.35198000000003</v>
      </c>
      <c r="I2969" s="465">
        <v>10.04472</v>
      </c>
      <c r="J2969" s="465">
        <v>34.248750000000001</v>
      </c>
      <c r="K2969" s="465">
        <v>4084.4985000000001</v>
      </c>
      <c r="L2969" s="464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spodná krycia lišta Simple/Blue 2m(pre lamino 10mm) strieborná</v>
      </c>
      <c r="C2970" s="185">
        <f t="shared" si="93"/>
        <v>13.219480000000001</v>
      </c>
      <c r="D2970" s="409" t="s">
        <v>3119</v>
      </c>
      <c r="E2970" s="409" t="s">
        <v>4202</v>
      </c>
      <c r="F2970" s="409" t="s">
        <v>4203</v>
      </c>
      <c r="G2970" s="409" t="s">
        <v>4204</v>
      </c>
      <c r="H2970" s="465">
        <v>363.69637999999998</v>
      </c>
      <c r="I2970" s="465">
        <v>13.219480000000001</v>
      </c>
      <c r="J2970" s="465">
        <v>45.701709999999999</v>
      </c>
      <c r="K2970" s="465">
        <v>5375.4538599999996</v>
      </c>
      <c r="L2970" s="464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spodná krycia lišta Simple/Blue 2,5m (pre lamino 10mm) strieborná</v>
      </c>
      <c r="C2971" s="185">
        <f t="shared" si="93"/>
        <v>16.39424</v>
      </c>
      <c r="D2971" s="409" t="s">
        <v>3120</v>
      </c>
      <c r="E2971" s="409" t="s">
        <v>4387</v>
      </c>
      <c r="F2971" s="409" t="s">
        <v>4388</v>
      </c>
      <c r="G2971" s="409" t="s">
        <v>4389</v>
      </c>
      <c r="H2971" s="465">
        <v>451.04077999999998</v>
      </c>
      <c r="I2971" s="465">
        <v>16.39424</v>
      </c>
      <c r="J2971" s="465">
        <v>57.107480000000002</v>
      </c>
      <c r="K2971" s="465">
        <v>6666.4092099999998</v>
      </c>
      <c r="L2971" s="464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str">
        <f t="shared" si="92"/>
        <v>SEVROLL 03751 spodná krycia lišta Simple/Blue 1,5m (pre lamino 10mm) oliva</v>
      </c>
      <c r="C2972" s="185" t="e">
        <f t="shared" si="93"/>
        <v>#N/A</v>
      </c>
      <c r="D2972" s="409" t="s">
        <v>3121</v>
      </c>
      <c r="E2972" s="409" t="s">
        <v>4057</v>
      </c>
      <c r="F2972" s="409" t="s">
        <v>4058</v>
      </c>
      <c r="G2972" s="409" t="s">
        <v>4059</v>
      </c>
      <c r="H2972" s="465" t="e">
        <v>#N/A</v>
      </c>
      <c r="I2972" s="465" t="e">
        <v>#N/A</v>
      </c>
      <c r="J2972" s="465" t="e">
        <v>#N/A</v>
      </c>
      <c r="K2972" s="465" t="e">
        <v>#N/A</v>
      </c>
      <c r="L2972" s="464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str">
        <f t="shared" si="92"/>
        <v>SEVROLL 03752 spodná krycia lišta Simple/Blue 2m (pre lamino 10mm) oliva</v>
      </c>
      <c r="C2973" s="185" t="e">
        <f t="shared" si="93"/>
        <v>#N/A</v>
      </c>
      <c r="D2973" s="409" t="s">
        <v>3122</v>
      </c>
      <c r="E2973" s="409" t="s">
        <v>4236</v>
      </c>
      <c r="F2973" s="409" t="s">
        <v>4237</v>
      </c>
      <c r="G2973" s="409" t="s">
        <v>4238</v>
      </c>
      <c r="H2973" s="465" t="e">
        <v>#N/A</v>
      </c>
      <c r="I2973" s="465" t="e">
        <v>#N/A</v>
      </c>
      <c r="J2973" s="465" t="e">
        <v>#N/A</v>
      </c>
      <c r="K2973" s="465" t="e">
        <v>#N/A</v>
      </c>
      <c r="L2973" s="464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str">
        <f t="shared" si="92"/>
        <v>SEVROLL 03753 spodná krycia lišta Simple/Blue 2,5m (pre lamino 10mm) oliva</v>
      </c>
      <c r="C2974" s="185" t="e">
        <f t="shared" si="93"/>
        <v>#N/A</v>
      </c>
      <c r="D2974" s="409" t="s">
        <v>3123</v>
      </c>
      <c r="E2974" s="409" t="s">
        <v>4487</v>
      </c>
      <c r="F2974" s="409" t="s">
        <v>4488</v>
      </c>
      <c r="G2974" s="409" t="s">
        <v>4489</v>
      </c>
      <c r="H2974" s="465" t="e">
        <v>#N/A</v>
      </c>
      <c r="I2974" s="465" t="e">
        <v>#N/A</v>
      </c>
      <c r="J2974" s="465" t="e">
        <v>#N/A</v>
      </c>
      <c r="K2974" s="465" t="e">
        <v>#N/A</v>
      </c>
      <c r="L2974" s="464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spojovacia lišta Simple/Blue H21 3m (pre lamino 18mm) oliva</v>
      </c>
      <c r="C2975" s="185">
        <f t="shared" si="93"/>
        <v>14.279909999999999</v>
      </c>
      <c r="D2975" s="409" t="s">
        <v>3124</v>
      </c>
      <c r="E2975" s="409" t="s">
        <v>5592</v>
      </c>
      <c r="F2975" s="409" t="s">
        <v>5593</v>
      </c>
      <c r="G2975" s="409" t="s">
        <v>5594</v>
      </c>
      <c r="H2975" s="465">
        <v>393.04982999999999</v>
      </c>
      <c r="I2975" s="465">
        <v>14.279909999999999</v>
      </c>
      <c r="J2975" s="465">
        <v>54.071179999999998</v>
      </c>
      <c r="K2975" s="465">
        <v>5809.2995000000001</v>
      </c>
      <c r="L2975" s="464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Symetric sada kovania pre 2 krídla</v>
      </c>
      <c r="C2976" s="185">
        <f t="shared" si="93"/>
        <v>39.970709999999997</v>
      </c>
      <c r="D2976" s="409" t="s">
        <v>3125</v>
      </c>
      <c r="E2976" s="409" t="s">
        <v>4743</v>
      </c>
      <c r="F2976" s="409" t="s">
        <v>4744</v>
      </c>
      <c r="G2976" s="409" t="s">
        <v>4745</v>
      </c>
      <c r="H2976" s="465">
        <v>1059.69202</v>
      </c>
      <c r="I2976" s="465">
        <v>39.970709999999997</v>
      </c>
      <c r="J2976" s="465">
        <v>136.36887999999999</v>
      </c>
      <c r="K2976" s="465">
        <v>15479.372139999999</v>
      </c>
      <c r="L2976" s="464" t="s">
        <v>539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pozícionér pre horný vozík</v>
      </c>
      <c r="C2977" s="185">
        <f t="shared" si="93"/>
        <v>0.47361999999999999</v>
      </c>
      <c r="D2977" s="409" t="s">
        <v>3126</v>
      </c>
      <c r="E2977" s="409" t="s">
        <v>6192</v>
      </c>
      <c r="F2977" s="409" t="s">
        <v>6193</v>
      </c>
      <c r="G2977" s="409" t="s">
        <v>6194</v>
      </c>
      <c r="H2977" s="465">
        <v>13.824109999999999</v>
      </c>
      <c r="I2977" s="465">
        <v>0.47361999999999999</v>
      </c>
      <c r="J2977" s="465">
        <v>1.5743100000000001</v>
      </c>
      <c r="K2977" s="465">
        <v>191.98057</v>
      </c>
      <c r="L2977" s="464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Exclusive horné vedenie 1,8m oliva</v>
      </c>
      <c r="C2978" s="185">
        <f t="shared" si="93"/>
        <v>23.706589999999998</v>
      </c>
      <c r="D2978" s="409" t="s">
        <v>3127</v>
      </c>
      <c r="E2978" s="409" t="s">
        <v>4534</v>
      </c>
      <c r="F2978" s="409" t="s">
        <v>1174</v>
      </c>
      <c r="G2978" s="409" t="s">
        <v>4535</v>
      </c>
      <c r="H2978" s="465">
        <v>628.50221999999997</v>
      </c>
      <c r="I2978" s="465">
        <v>23.706589999999998</v>
      </c>
      <c r="J2978" s="465">
        <v>80.880240000000001</v>
      </c>
      <c r="K2978" s="465">
        <v>9180.7993700000006</v>
      </c>
      <c r="L2978" s="464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Elegant II spodné vedenie 6m oliva kartáčovaná</v>
      </c>
      <c r="C2979" s="185">
        <f t="shared" si="93"/>
        <v>54.803600000000003</v>
      </c>
      <c r="D2979" s="409" t="s">
        <v>3128</v>
      </c>
      <c r="E2979" s="409" t="s">
        <v>5216</v>
      </c>
      <c r="F2979" s="409" t="s">
        <v>5217</v>
      </c>
      <c r="G2979" s="409" t="s">
        <v>5218</v>
      </c>
      <c r="H2979" s="465">
        <v>1524.21326</v>
      </c>
      <c r="I2979" s="465">
        <v>54.803600000000003</v>
      </c>
      <c r="J2979" s="465">
        <v>195.35040000000001</v>
      </c>
      <c r="K2979" s="465">
        <v>21842.694049999998</v>
      </c>
      <c r="L2979" s="464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Elegant II spodné vedenie 6m oliva tmavá kartáčovaná</v>
      </c>
      <c r="C2980" s="185">
        <f t="shared" si="93"/>
        <v>54.803600000000003</v>
      </c>
      <c r="D2980" s="409" t="s">
        <v>3129</v>
      </c>
      <c r="E2980" s="409" t="s">
        <v>5219</v>
      </c>
      <c r="F2980" s="409" t="s">
        <v>5220</v>
      </c>
      <c r="G2980" s="409" t="s">
        <v>5221</v>
      </c>
      <c r="H2980" s="465">
        <v>1524.21326</v>
      </c>
      <c r="I2980" s="465">
        <v>54.803600000000003</v>
      </c>
      <c r="J2980" s="465">
        <v>195.35040000000001</v>
      </c>
      <c r="K2980" s="465">
        <v>21842.694049999998</v>
      </c>
      <c r="L2980" s="464" t="s">
        <v>539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Elegant II spodné vedenie 6m čierna kartáčovaná</v>
      </c>
      <c r="C2981" s="185">
        <f t="shared" si="93"/>
        <v>54.803600000000003</v>
      </c>
      <c r="D2981" s="409" t="s">
        <v>3130</v>
      </c>
      <c r="E2981" s="409" t="s">
        <v>5213</v>
      </c>
      <c r="F2981" s="409" t="s">
        <v>5214</v>
      </c>
      <c r="G2981" s="409" t="s">
        <v>5215</v>
      </c>
      <c r="H2981" s="465">
        <v>1524.21326</v>
      </c>
      <c r="I2981" s="465">
        <v>54.803600000000003</v>
      </c>
      <c r="J2981" s="465">
        <v>195.35040000000001</v>
      </c>
      <c r="K2981" s="465">
        <v>21842.694049999998</v>
      </c>
      <c r="L2981" s="464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Gemini horné vedenie 6m oliva kartáč</v>
      </c>
      <c r="C2982" s="185">
        <f t="shared" si="93"/>
        <v>85.796509999999998</v>
      </c>
      <c r="D2982" s="409" t="s">
        <v>3131</v>
      </c>
      <c r="E2982" s="409" t="s">
        <v>5296</v>
      </c>
      <c r="F2982" s="409" t="s">
        <v>1164</v>
      </c>
      <c r="G2982" s="409" t="s">
        <v>5297</v>
      </c>
      <c r="H2982" s="465">
        <v>2386.1970999999999</v>
      </c>
      <c r="I2982" s="465">
        <v>85.796509999999998</v>
      </c>
      <c r="J2982" s="465">
        <v>297.64620000000002</v>
      </c>
      <c r="K2982" s="465">
        <v>34195.328569999998</v>
      </c>
      <c r="L2982" s="464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Gemini horné vedenie 6m oliva tmavá</v>
      </c>
      <c r="C2983" s="185">
        <f t="shared" si="93"/>
        <v>85.796509999999998</v>
      </c>
      <c r="D2983" s="409" t="s">
        <v>3132</v>
      </c>
      <c r="E2983" s="409" t="s">
        <v>5298</v>
      </c>
      <c r="F2983" s="409" t="s">
        <v>1163</v>
      </c>
      <c r="G2983" s="409" t="s">
        <v>5299</v>
      </c>
      <c r="H2983" s="465">
        <v>2386.1970999999999</v>
      </c>
      <c r="I2983" s="465">
        <v>85.796509999999998</v>
      </c>
      <c r="J2983" s="465">
        <v>297.64620000000002</v>
      </c>
      <c r="K2983" s="465">
        <v>34195.328569999998</v>
      </c>
      <c r="L2983" s="464" t="s">
        <v>539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Gemini horné vedenie 6m čierna kartá</v>
      </c>
      <c r="C2984" s="185">
        <f t="shared" si="93"/>
        <v>85.796509999999998</v>
      </c>
      <c r="D2984" s="409" t="s">
        <v>3133</v>
      </c>
      <c r="E2984" s="409" t="s">
        <v>5294</v>
      </c>
      <c r="F2984" s="409" t="s">
        <v>1165</v>
      </c>
      <c r="G2984" s="409" t="s">
        <v>5295</v>
      </c>
      <c r="H2984" s="465">
        <v>2386.1970999999999</v>
      </c>
      <c r="I2984" s="465">
        <v>85.796509999999998</v>
      </c>
      <c r="J2984" s="465">
        <v>297.64620000000002</v>
      </c>
      <c r="K2984" s="465">
        <v>34195.328569999998</v>
      </c>
      <c r="L2984" s="464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tĺmič dorazu Sevromatic 10/18mm 14-25kg ľavý</v>
      </c>
      <c r="C2985" s="185">
        <f t="shared" si="93"/>
        <v>12.85516</v>
      </c>
      <c r="D2985" s="409" t="s">
        <v>3134</v>
      </c>
      <c r="E2985" s="409" t="s">
        <v>4263</v>
      </c>
      <c r="F2985" s="409" t="s">
        <v>4264</v>
      </c>
      <c r="G2985" s="409" t="s">
        <v>4265</v>
      </c>
      <c r="H2985" s="465">
        <v>379.39492999999999</v>
      </c>
      <c r="I2985" s="465">
        <v>12.85516</v>
      </c>
      <c r="J2985" s="465">
        <v>44.777999999999999</v>
      </c>
      <c r="K2985" s="465">
        <v>5268.7977899999996</v>
      </c>
      <c r="L2985" s="464" t="s">
        <v>695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tĺmič dorazu Sevromatic 10/18mm 14-25kg pravý</v>
      </c>
      <c r="C2986" s="185">
        <f t="shared" si="93"/>
        <v>12.85516</v>
      </c>
      <c r="D2986" s="409" t="s">
        <v>3135</v>
      </c>
      <c r="E2986" s="409" t="s">
        <v>4266</v>
      </c>
      <c r="F2986" s="409" t="s">
        <v>4267</v>
      </c>
      <c r="G2986" s="409" t="s">
        <v>4268</v>
      </c>
      <c r="H2986" s="465">
        <v>379.39492999999999</v>
      </c>
      <c r="I2986" s="465">
        <v>12.85516</v>
      </c>
      <c r="J2986" s="465">
        <v>44.777999999999999</v>
      </c>
      <c r="K2986" s="465">
        <v>5268.7977899999996</v>
      </c>
      <c r="L2986" s="464" t="s">
        <v>695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tlmič dorazu Sevromatic 10/18mm 25-50kg ľavý</v>
      </c>
      <c r="C2987" s="185">
        <f t="shared" si="93"/>
        <v>12.85516</v>
      </c>
      <c r="D2987" s="409" t="s">
        <v>3136</v>
      </c>
      <c r="E2987" s="409" t="s">
        <v>4269</v>
      </c>
      <c r="F2987" s="409" t="s">
        <v>4270</v>
      </c>
      <c r="G2987" s="409" t="s">
        <v>4271</v>
      </c>
      <c r="H2987" s="465">
        <v>379.39492999999999</v>
      </c>
      <c r="I2987" s="465">
        <v>12.85516</v>
      </c>
      <c r="J2987" s="465">
        <v>44.777999999999999</v>
      </c>
      <c r="K2987" s="465">
        <v>5268.7977899999996</v>
      </c>
      <c r="L2987" s="464" t="s">
        <v>695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tlmič dorazu Sevromatic 10/18mm 25-50kg pravý</v>
      </c>
      <c r="C2988" s="185">
        <f t="shared" si="93"/>
        <v>12.85516</v>
      </c>
      <c r="D2988" s="409" t="s">
        <v>3137</v>
      </c>
      <c r="E2988" s="409" t="s">
        <v>4272</v>
      </c>
      <c r="F2988" s="409" t="s">
        <v>4273</v>
      </c>
      <c r="G2988" s="409" t="s">
        <v>4274</v>
      </c>
      <c r="H2988" s="465">
        <v>379.39492999999999</v>
      </c>
      <c r="I2988" s="465">
        <v>12.85516</v>
      </c>
      <c r="J2988" s="465">
        <v>44.777999999999999</v>
      </c>
      <c r="K2988" s="465">
        <v>5268.7977899999996</v>
      </c>
      <c r="L2988" s="464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tlmič dorazu 10/18mm 14-25kg L+P</v>
      </c>
      <c r="C2989" s="185">
        <f t="shared" si="93"/>
        <v>25.710319999999999</v>
      </c>
      <c r="D2989" s="409" t="s">
        <v>3138</v>
      </c>
      <c r="E2989" s="409" t="s">
        <v>4690</v>
      </c>
      <c r="F2989" s="409" t="s">
        <v>4691</v>
      </c>
      <c r="G2989" s="409" t="s">
        <v>4692</v>
      </c>
      <c r="H2989" s="465">
        <v>758.78985999999998</v>
      </c>
      <c r="I2989" s="465">
        <v>25.710319999999999</v>
      </c>
      <c r="J2989" s="465">
        <v>89.555999999999997</v>
      </c>
      <c r="K2989" s="465">
        <v>10537.595579999999</v>
      </c>
      <c r="L2989" s="464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tlmič dorazu 10/18mm 25-50kg L+P</v>
      </c>
      <c r="C2990" s="185">
        <f t="shared" si="93"/>
        <v>25.710319999999999</v>
      </c>
      <c r="D2990" s="409" t="s">
        <v>3139</v>
      </c>
      <c r="E2990" s="409" t="s">
        <v>4693</v>
      </c>
      <c r="F2990" s="409" t="s">
        <v>4694</v>
      </c>
      <c r="G2990" s="409" t="s">
        <v>4695</v>
      </c>
      <c r="H2990" s="465">
        <v>758.78985999999998</v>
      </c>
      <c r="I2990" s="465">
        <v>25.710319999999999</v>
      </c>
      <c r="J2990" s="465">
        <v>89.555999999999997</v>
      </c>
      <c r="K2990" s="465">
        <v>10537.595579999999</v>
      </c>
      <c r="L2990" s="464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spojovacia lišta H10 Decor 3m oliva</v>
      </c>
      <c r="C2991" s="185">
        <f t="shared" si="93"/>
        <v>16.784579999999998</v>
      </c>
      <c r="D2991" s="409" t="s">
        <v>3140</v>
      </c>
      <c r="E2991" s="409" t="s">
        <v>4364</v>
      </c>
      <c r="F2991" s="409" t="s">
        <v>1101</v>
      </c>
      <c r="G2991" s="409" t="s">
        <v>4365</v>
      </c>
      <c r="H2991" s="465">
        <v>466.81745999999998</v>
      </c>
      <c r="I2991" s="465">
        <v>16.784579999999998</v>
      </c>
      <c r="J2991" s="465">
        <v>57.7179</v>
      </c>
      <c r="K2991" s="465">
        <v>6689.71414</v>
      </c>
      <c r="L2991" s="464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Comfort horné vedenie 6m strieborné</v>
      </c>
      <c r="C2992" s="185">
        <f t="shared" si="93"/>
        <v>106.09414</v>
      </c>
      <c r="D2992" s="409" t="s">
        <v>3141</v>
      </c>
      <c r="E2992" s="409" t="s">
        <v>5081</v>
      </c>
      <c r="F2992" s="409" t="s">
        <v>1184</v>
      </c>
      <c r="G2992" s="409" t="s">
        <v>5082</v>
      </c>
      <c r="H2992" s="465">
        <v>2950.7205199999999</v>
      </c>
      <c r="I2992" s="465">
        <v>106.09414</v>
      </c>
      <c r="J2992" s="465">
        <v>382.18380000000002</v>
      </c>
      <c r="K2992" s="465">
        <v>42285.215190000003</v>
      </c>
      <c r="L2992" s="464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Comfort horné vedenie 6m oliva</v>
      </c>
      <c r="C2993" s="185">
        <f t="shared" si="93"/>
        <v>132.55912000000001</v>
      </c>
      <c r="D2993" s="409" t="s">
        <v>3142</v>
      </c>
      <c r="E2993" s="409" t="s">
        <v>5087</v>
      </c>
      <c r="F2993" s="409" t="s">
        <v>1185</v>
      </c>
      <c r="G2993" s="409" t="s">
        <v>5088</v>
      </c>
      <c r="H2993" s="465">
        <v>3686.7721999999999</v>
      </c>
      <c r="I2993" s="465">
        <v>132.55912000000001</v>
      </c>
      <c r="J2993" s="465">
        <v>455.83721000000003</v>
      </c>
      <c r="K2993" s="465">
        <v>52833.182480000003</v>
      </c>
      <c r="L2993" s="464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Comfort horné vedenie 2,35m strieborná</v>
      </c>
      <c r="C2994" s="185">
        <f t="shared" si="93"/>
        <v>41.55809</v>
      </c>
      <c r="D2994" s="409" t="s">
        <v>3143</v>
      </c>
      <c r="E2994" s="409" t="s">
        <v>4920</v>
      </c>
      <c r="F2994" s="409" t="s">
        <v>1260</v>
      </c>
      <c r="G2994" s="409" t="s">
        <v>4921</v>
      </c>
      <c r="H2994" s="465">
        <v>1155.8255300000001</v>
      </c>
      <c r="I2994" s="465">
        <v>41.55809</v>
      </c>
      <c r="J2994" s="465">
        <v>149.685</v>
      </c>
      <c r="K2994" s="465">
        <v>16563.524389999999</v>
      </c>
      <c r="L2994" s="464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Comfort horné vedenie 3m strieborné</v>
      </c>
      <c r="C2995" s="185">
        <f t="shared" si="93"/>
        <v>53.034059999999997</v>
      </c>
      <c r="D2995" s="409" t="s">
        <v>3144</v>
      </c>
      <c r="E2995" s="409" t="s">
        <v>4990</v>
      </c>
      <c r="F2995" s="409" t="s">
        <v>1259</v>
      </c>
      <c r="G2995" s="409" t="s">
        <v>4991</v>
      </c>
      <c r="H2995" s="465">
        <v>1474.99839</v>
      </c>
      <c r="I2995" s="465">
        <v>53.034059999999997</v>
      </c>
      <c r="J2995" s="465">
        <v>191.09700000000001</v>
      </c>
      <c r="K2995" s="465">
        <v>21137.42181</v>
      </c>
      <c r="L2995" s="464" t="s">
        <v>538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horný vozík Gemini symetrický 10mm - 2ks</v>
      </c>
      <c r="C2996" s="185">
        <f t="shared" si="93"/>
        <v>5.1758899999999999</v>
      </c>
      <c r="D2996" s="409" t="s">
        <v>3145</v>
      </c>
      <c r="E2996" s="409" t="s">
        <v>5397</v>
      </c>
      <c r="F2996" s="409" t="s">
        <v>5398</v>
      </c>
      <c r="G2996" s="409" t="s">
        <v>5399</v>
      </c>
      <c r="H2996" s="465">
        <v>152.83319</v>
      </c>
      <c r="I2996" s="465">
        <v>5.1758899999999999</v>
      </c>
      <c r="J2996" s="465">
        <v>23.174399999999999</v>
      </c>
      <c r="K2996" s="465">
        <v>2122.4510500000001</v>
      </c>
      <c r="L2996" s="464" t="s">
        <v>695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horný vozík 18mm 2ks</v>
      </c>
      <c r="C2997" s="185">
        <f t="shared" si="93"/>
        <v>3.9346299999999998</v>
      </c>
      <c r="D2997" s="409" t="s">
        <v>3146</v>
      </c>
      <c r="E2997" s="409" t="s">
        <v>5234</v>
      </c>
      <c r="F2997" s="409" t="s">
        <v>5235</v>
      </c>
      <c r="G2997" s="409" t="s">
        <v>5236</v>
      </c>
      <c r="H2997" s="465">
        <v>115.9689</v>
      </c>
      <c r="I2997" s="465">
        <v>3.9346299999999998</v>
      </c>
      <c r="J2997" s="465">
        <v>13.907170000000001</v>
      </c>
      <c r="K2997" s="465">
        <v>1610.50298</v>
      </c>
      <c r="L2997" s="464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profil "U" DTD 16mm 3m str</v>
      </c>
      <c r="C2998" s="185">
        <f t="shared" si="93"/>
        <v>6.0372399999999997</v>
      </c>
      <c r="D2998" s="409" t="s">
        <v>3147</v>
      </c>
      <c r="E2998" s="409" t="s">
        <v>3744</v>
      </c>
      <c r="F2998" s="409" t="s">
        <v>1108</v>
      </c>
      <c r="G2998" s="409" t="s">
        <v>3745</v>
      </c>
      <c r="H2998" s="465">
        <v>167.90952999999999</v>
      </c>
      <c r="I2998" s="465">
        <v>6.0372399999999997</v>
      </c>
      <c r="J2998" s="465">
        <v>20.7774</v>
      </c>
      <c r="K2998" s="465">
        <v>2406.2226000000001</v>
      </c>
      <c r="L2998" s="464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Beta 16 úchytová lišta 2,70m striebo</v>
      </c>
      <c r="C2999" s="185">
        <f t="shared" si="93"/>
        <v>7.8588300000000002</v>
      </c>
      <c r="D2999" s="409" t="s">
        <v>3148</v>
      </c>
      <c r="E2999" s="409" t="s">
        <v>3799</v>
      </c>
      <c r="F2999" s="409" t="s">
        <v>1189</v>
      </c>
      <c r="G2999" s="409" t="s">
        <v>3800</v>
      </c>
      <c r="H2999" s="465">
        <v>218.57187999999999</v>
      </c>
      <c r="I2999" s="465">
        <v>7.8588300000000002</v>
      </c>
      <c r="J2999" s="465">
        <v>29.4984</v>
      </c>
      <c r="K2999" s="465">
        <v>3132.2380699999999</v>
      </c>
      <c r="L2999" s="464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Ergo 16 úchytová lišta 2,7m striebor</v>
      </c>
      <c r="C3000" s="185">
        <f t="shared" si="93"/>
        <v>7.8588300000000002</v>
      </c>
      <c r="D3000" s="409" t="s">
        <v>3149</v>
      </c>
      <c r="E3000" s="409" t="s">
        <v>3899</v>
      </c>
      <c r="F3000" s="409" t="s">
        <v>1177</v>
      </c>
      <c r="G3000" s="409" t="s">
        <v>3900</v>
      </c>
      <c r="H3000" s="465">
        <v>218.57187999999999</v>
      </c>
      <c r="I3000" s="465">
        <v>7.8588300000000002</v>
      </c>
      <c r="J3000" s="465">
        <v>33.579320000000003</v>
      </c>
      <c r="K3000" s="465">
        <v>3132.2380699999999</v>
      </c>
      <c r="L3000" s="464" t="s">
        <v>539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str">
        <f t="shared" si="92"/>
        <v>SEVROLL Fiesta 16 úchytová lišta 2,70m strieborná</v>
      </c>
      <c r="C3001" s="185" t="e">
        <f t="shared" si="93"/>
        <v>#N/A</v>
      </c>
      <c r="D3001" s="409" t="s">
        <v>3150</v>
      </c>
      <c r="E3001" s="409" t="s">
        <v>4031</v>
      </c>
      <c r="F3001" s="409" t="s">
        <v>4032</v>
      </c>
      <c r="G3001" s="409" t="s">
        <v>4033</v>
      </c>
      <c r="H3001" s="465" t="e">
        <v>#N/A</v>
      </c>
      <c r="I3001" s="465" t="e">
        <v>#N/A</v>
      </c>
      <c r="J3001" s="465" t="e">
        <v>#N/A</v>
      </c>
      <c r="K3001" s="465" t="e">
        <v>#N/A</v>
      </c>
      <c r="L3001" s="464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Universal 16 úchytová lišta 2,7m str</v>
      </c>
      <c r="C3002" s="185">
        <f t="shared" si="93"/>
        <v>15.977880000000001</v>
      </c>
      <c r="D3002" s="409" t="s">
        <v>3151</v>
      </c>
      <c r="E3002" s="409" t="s">
        <v>4390</v>
      </c>
      <c r="F3002" s="409" t="s">
        <v>1089</v>
      </c>
      <c r="G3002" s="409" t="s">
        <v>4391</v>
      </c>
      <c r="H3002" s="465">
        <v>444.38125000000002</v>
      </c>
      <c r="I3002" s="465">
        <v>15.977880000000001</v>
      </c>
      <c r="J3002" s="465">
        <v>55.712400000000002</v>
      </c>
      <c r="K3002" s="465">
        <v>6368.1926599999997</v>
      </c>
      <c r="L3002" s="464" t="s">
        <v>539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dorazová kefa zásuvná 4,8x4mm sivá</v>
      </c>
      <c r="C3003" s="185">
        <f t="shared" si="93"/>
        <v>0.13</v>
      </c>
      <c r="D3003" s="409" t="s">
        <v>3152</v>
      </c>
      <c r="E3003" s="409" t="s">
        <v>5131</v>
      </c>
      <c r="F3003" s="409" t="s">
        <v>5132</v>
      </c>
      <c r="G3003" s="409" t="s">
        <v>5133</v>
      </c>
      <c r="H3003" s="465">
        <v>3.45</v>
      </c>
      <c r="I3003" s="465">
        <v>0.13</v>
      </c>
      <c r="J3003" s="465">
        <v>0.35</v>
      </c>
      <c r="K3003" s="465">
        <v>24.212029999999999</v>
      </c>
      <c r="L3003" s="464" t="s">
        <v>695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spodný vozík WD18V (2x vozík+pozic.) s pružinou</v>
      </c>
      <c r="C3004" s="185">
        <f t="shared" si="93"/>
        <v>0</v>
      </c>
      <c r="D3004" s="409" t="s">
        <v>3153</v>
      </c>
      <c r="E3004" s="409" t="s">
        <v>5571</v>
      </c>
      <c r="F3004" s="409" t="s">
        <v>5572</v>
      </c>
      <c r="G3004" s="409" t="s">
        <v>5573</v>
      </c>
      <c r="H3004" s="465">
        <v>0</v>
      </c>
      <c r="I3004" s="465">
        <v>0</v>
      </c>
      <c r="J3004" s="465">
        <v>14.272180000000001</v>
      </c>
      <c r="K3004" s="465">
        <v>0</v>
      </c>
      <c r="L3004" s="464" t="s">
        <v>540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horný vozík 18mm - 2ks</v>
      </c>
      <c r="C3005" s="185">
        <f t="shared" si="93"/>
        <v>7.1822600000000003</v>
      </c>
      <c r="D3005" s="409" t="s">
        <v>3154</v>
      </c>
      <c r="E3005" s="409" t="s">
        <v>3957</v>
      </c>
      <c r="F3005" s="409" t="s">
        <v>3958</v>
      </c>
      <c r="G3005" s="409" t="s">
        <v>3959</v>
      </c>
      <c r="H3005" s="465">
        <v>199.57113000000001</v>
      </c>
      <c r="I3005" s="465">
        <v>7.1822600000000003</v>
      </c>
      <c r="J3005" s="465">
        <v>24.2668</v>
      </c>
      <c r="K3005" s="465">
        <v>2774.16185</v>
      </c>
      <c r="L3005" s="464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spodný vozík WD 18C HI-TEC - 2ks</v>
      </c>
      <c r="C3006" s="185">
        <f t="shared" si="93"/>
        <v>5.2305400000000004</v>
      </c>
      <c r="D3006" s="409" t="s">
        <v>3155</v>
      </c>
      <c r="E3006" s="409" t="s">
        <v>3753</v>
      </c>
      <c r="F3006" s="409" t="s">
        <v>3754</v>
      </c>
      <c r="G3006" s="409" t="s">
        <v>3755</v>
      </c>
      <c r="H3006" s="465">
        <v>154.36919</v>
      </c>
      <c r="I3006" s="465">
        <v>5.2305400000000004</v>
      </c>
      <c r="J3006" s="465">
        <v>17.546399999999998</v>
      </c>
      <c r="K3006" s="465">
        <v>2143.7821199999998</v>
      </c>
      <c r="L3006" s="464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spodný vozík WD 10C HI-TEC - 2ks</v>
      </c>
      <c r="C3007" s="185">
        <f t="shared" si="93"/>
        <v>6.6617899999999999</v>
      </c>
      <c r="D3007" s="409" t="s">
        <v>3156</v>
      </c>
      <c r="E3007" s="409" t="s">
        <v>3846</v>
      </c>
      <c r="F3007" s="409" t="s">
        <v>3847</v>
      </c>
      <c r="G3007" s="409" t="s">
        <v>3848</v>
      </c>
      <c r="H3007" s="465">
        <v>196.60954000000001</v>
      </c>
      <c r="I3007" s="465">
        <v>6.6617899999999999</v>
      </c>
      <c r="J3007" s="465">
        <v>26.3874</v>
      </c>
      <c r="K3007" s="465">
        <v>2730.3893800000001</v>
      </c>
      <c r="L3007" s="464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horný vozík 10mm - 2ks</v>
      </c>
      <c r="C3008" s="185">
        <f t="shared" si="93"/>
        <v>7.5986000000000002</v>
      </c>
      <c r="D3008" s="409" t="s">
        <v>3157</v>
      </c>
      <c r="E3008" s="409" t="s">
        <v>3987</v>
      </c>
      <c r="F3008" s="409" t="s">
        <v>3988</v>
      </c>
      <c r="G3008" s="409" t="s">
        <v>3989</v>
      </c>
      <c r="H3008" s="465">
        <v>224.25773000000001</v>
      </c>
      <c r="I3008" s="465">
        <v>7.5986000000000002</v>
      </c>
      <c r="J3008" s="465">
        <v>25.3689</v>
      </c>
      <c r="K3008" s="465">
        <v>3114.3501299999998</v>
      </c>
      <c r="L3008" s="464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horný vozík 18mm - 2ks</v>
      </c>
      <c r="C3009" s="185">
        <f t="shared" si="93"/>
        <v>7.1822600000000003</v>
      </c>
      <c r="D3009" s="409" t="s">
        <v>3158</v>
      </c>
      <c r="E3009" s="409" t="s">
        <v>3960</v>
      </c>
      <c r="F3009" s="409" t="s">
        <v>3961</v>
      </c>
      <c r="G3009" s="409" t="s">
        <v>3962</v>
      </c>
      <c r="H3009" s="465">
        <v>199.57113000000001</v>
      </c>
      <c r="I3009" s="465">
        <v>7.1822600000000003</v>
      </c>
      <c r="J3009" s="465">
        <v>24.2668</v>
      </c>
      <c r="K3009" s="465">
        <v>2774.16185</v>
      </c>
      <c r="L3009" s="464" t="s">
        <v>540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spodný vozík Simple/Blue V (rámový systém) - 2ks</v>
      </c>
      <c r="C3010" s="185">
        <f t="shared" si="93"/>
        <v>2.73237</v>
      </c>
      <c r="D3010" s="409" t="s">
        <v>3159</v>
      </c>
      <c r="E3010" s="409" t="s">
        <v>5565</v>
      </c>
      <c r="F3010" s="409" t="s">
        <v>5566</v>
      </c>
      <c r="G3010" s="409" t="s">
        <v>5567</v>
      </c>
      <c r="H3010" s="465">
        <v>80.640640000000005</v>
      </c>
      <c r="I3010" s="465">
        <v>2.73237</v>
      </c>
      <c r="J3010" s="465">
        <v>16.17259</v>
      </c>
      <c r="K3010" s="465">
        <v>1119.8864100000001</v>
      </c>
      <c r="L3010" s="464" t="s">
        <v>695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spodný vozík Simple (bezrámový 18mm) - 2ks</v>
      </c>
      <c r="C3011" s="185">
        <f t="shared" si="93"/>
        <v>4.1375900000000003</v>
      </c>
      <c r="D3011" s="409" t="s">
        <v>3160</v>
      </c>
      <c r="E3011" s="409" t="s">
        <v>3627</v>
      </c>
      <c r="F3011" s="409" t="s">
        <v>3628</v>
      </c>
      <c r="G3011" s="409" t="s">
        <v>3629</v>
      </c>
      <c r="H3011" s="465">
        <v>122.11295</v>
      </c>
      <c r="I3011" s="465">
        <v>4.1375900000000003</v>
      </c>
      <c r="J3011" s="465">
        <v>13.88</v>
      </c>
      <c r="K3011" s="465">
        <v>1695.82772</v>
      </c>
      <c r="L3011" s="464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pozicionér pre spodný vozík</v>
      </c>
      <c r="C3012" s="185">
        <f t="shared" ref="C3012:C3075" si="95">IF($A$2=1,H3012,IF($A$2=2,I3012,IF($A$2=3,J3012,IF($A$2=4,K3012,IF($A$2&gt;4,O3012,"zadat jazyk")))))</f>
        <v>0.36431999999999998</v>
      </c>
      <c r="D3012" s="409" t="s">
        <v>3161</v>
      </c>
      <c r="E3012" s="409" t="s">
        <v>6195</v>
      </c>
      <c r="F3012" s="409" t="s">
        <v>6196</v>
      </c>
      <c r="G3012" s="409" t="s">
        <v>6197</v>
      </c>
      <c r="H3012" s="465">
        <v>10.75207</v>
      </c>
      <c r="I3012" s="465">
        <v>0.36431999999999998</v>
      </c>
      <c r="J3012" s="465">
        <v>1.2257</v>
      </c>
      <c r="K3012" s="465">
        <v>149.31799000000001</v>
      </c>
      <c r="L3012" s="464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str">
        <f t="shared" si="94"/>
        <v>SEVROLL krycia lišta Herkules Glass 2m strie</v>
      </c>
      <c r="C3013" s="185" t="e">
        <f t="shared" si="95"/>
        <v>#N/A</v>
      </c>
      <c r="D3013" s="409" t="s">
        <v>3162</v>
      </c>
      <c r="E3013" s="409" t="s">
        <v>4845</v>
      </c>
      <c r="F3013" s="409" t="s">
        <v>1143</v>
      </c>
      <c r="G3013" s="409" t="s">
        <v>4846</v>
      </c>
      <c r="H3013" s="465" t="e">
        <v>#N/A</v>
      </c>
      <c r="I3013" s="465" t="e">
        <v>#N/A</v>
      </c>
      <c r="J3013" s="465" t="e">
        <v>#N/A</v>
      </c>
      <c r="K3013" s="465" t="e">
        <v>#N/A</v>
      </c>
      <c r="L3013" s="464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str">
        <f t="shared" si="94"/>
        <v>SEVROLL bočná krytka krycí profil Herkules Glas</v>
      </c>
      <c r="C3014" s="185" t="e">
        <f t="shared" si="95"/>
        <v>#N/A</v>
      </c>
      <c r="D3014" s="409" t="s">
        <v>3163</v>
      </c>
      <c r="E3014" s="409" t="s">
        <v>3706</v>
      </c>
      <c r="F3014" s="409" t="s">
        <v>3707</v>
      </c>
      <c r="G3014" s="409" t="s">
        <v>3708</v>
      </c>
      <c r="H3014" s="465" t="e">
        <v>#N/A</v>
      </c>
      <c r="I3014" s="465" t="e">
        <v>#N/A</v>
      </c>
      <c r="J3014" s="465" t="e">
        <v>#N/A</v>
      </c>
      <c r="K3014" s="465" t="e">
        <v>#N/A</v>
      </c>
      <c r="L3014" s="464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Optima sada tlmičov P+L</v>
      </c>
      <c r="C3015" s="185">
        <f t="shared" si="95"/>
        <v>56.078699999999998</v>
      </c>
      <c r="D3015" s="409" t="s">
        <v>3164</v>
      </c>
      <c r="E3015" s="409" t="s">
        <v>4974</v>
      </c>
      <c r="F3015" s="409" t="s">
        <v>1119</v>
      </c>
      <c r="G3015" s="409" t="s">
        <v>4975</v>
      </c>
      <c r="H3015" s="465">
        <v>1655.0528400000001</v>
      </c>
      <c r="I3015" s="465">
        <v>56.078699999999998</v>
      </c>
      <c r="J3015" s="465">
        <v>198.7062</v>
      </c>
      <c r="K3015" s="465">
        <v>22984.33137</v>
      </c>
      <c r="L3015" s="464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úchytová lišta 2,7m strieborná</v>
      </c>
      <c r="C3016" s="185">
        <f t="shared" si="95"/>
        <v>13.089370000000001</v>
      </c>
      <c r="D3016" s="409" t="s">
        <v>3165</v>
      </c>
      <c r="E3016" s="409" t="s">
        <v>4177</v>
      </c>
      <c r="F3016" s="409" t="s">
        <v>4178</v>
      </c>
      <c r="G3016" s="409" t="s">
        <v>4179</v>
      </c>
      <c r="H3016" s="465">
        <v>364.04523</v>
      </c>
      <c r="I3016" s="465">
        <v>13.089370000000001</v>
      </c>
      <c r="J3016" s="465">
        <v>54.096670000000003</v>
      </c>
      <c r="K3016" s="465">
        <v>5216.93959</v>
      </c>
      <c r="L3016" s="464" t="s">
        <v>538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Exclusive horné vedenie 3,6m strieborná</v>
      </c>
      <c r="C3017" s="185">
        <f t="shared" si="95"/>
        <v>39.06514</v>
      </c>
      <c r="D3017" s="409" t="s">
        <v>3166</v>
      </c>
      <c r="E3017" s="409" t="s">
        <v>4885</v>
      </c>
      <c r="F3017" s="409" t="s">
        <v>1172</v>
      </c>
      <c r="G3017" s="409" t="s">
        <v>4886</v>
      </c>
      <c r="H3017" s="465">
        <v>1035.54538</v>
      </c>
      <c r="I3017" s="465">
        <v>39.06514</v>
      </c>
      <c r="J3017" s="465">
        <v>133.27927</v>
      </c>
      <c r="K3017" s="465">
        <v>15126.65186</v>
      </c>
      <c r="L3017" s="464" t="s">
        <v>539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spojovacia lišta H16 3m strie</v>
      </c>
      <c r="C3018" s="185">
        <f t="shared" si="95"/>
        <v>11.996420000000001</v>
      </c>
      <c r="D3018" s="409" t="s">
        <v>3167</v>
      </c>
      <c r="E3018" s="409" t="s">
        <v>4217</v>
      </c>
      <c r="F3018" s="409" t="s">
        <v>4218</v>
      </c>
      <c r="G3018" s="409" t="s">
        <v>4219</v>
      </c>
      <c r="H3018" s="465">
        <v>333.64782000000002</v>
      </c>
      <c r="I3018" s="465">
        <v>11.996420000000001</v>
      </c>
      <c r="J3018" s="465">
        <v>48.042000000000002</v>
      </c>
      <c r="K3018" s="465">
        <v>4781.3303900000001</v>
      </c>
      <c r="L3018" s="464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spojovacia lišta H16 3m oliva</v>
      </c>
      <c r="C3019" s="185">
        <f t="shared" si="95"/>
        <v>15.015040000000001</v>
      </c>
      <c r="D3019" s="409" t="s">
        <v>3168</v>
      </c>
      <c r="E3019" s="409" t="s">
        <v>4289</v>
      </c>
      <c r="F3019" s="409" t="s">
        <v>4290</v>
      </c>
      <c r="G3019" s="409" t="s">
        <v>4291</v>
      </c>
      <c r="H3019" s="465">
        <v>416.87885</v>
      </c>
      <c r="I3019" s="465">
        <v>15.015040000000001</v>
      </c>
      <c r="J3019" s="465">
        <v>52.856400000000001</v>
      </c>
      <c r="K3019" s="465">
        <v>5974.0702899999997</v>
      </c>
      <c r="L3019" s="464" t="s">
        <v>539</v>
      </c>
      <c r="O3019">
        <v>14.19</v>
      </c>
      <c r="P3019" t="s">
        <v>9090</v>
      </c>
    </row>
    <row r="3020" spans="1:16" ht="14.4" x14ac:dyDescent="0.3">
      <c r="A3020">
        <v>234761</v>
      </c>
      <c r="B3020" t="str">
        <f t="shared" si="94"/>
        <v>SEVROLL spojovacia lišta H08 16 3m strie</v>
      </c>
      <c r="C3020" s="185" t="e">
        <f t="shared" si="95"/>
        <v>#N/A</v>
      </c>
      <c r="D3020" s="409" t="s">
        <v>3169</v>
      </c>
      <c r="E3020" s="409" t="s">
        <v>3951</v>
      </c>
      <c r="F3020" s="409" t="s">
        <v>3952</v>
      </c>
      <c r="G3020" s="409" t="s">
        <v>3953</v>
      </c>
      <c r="H3020" s="465" t="e">
        <v>#N/A</v>
      </c>
      <c r="I3020" s="465" t="e">
        <v>#N/A</v>
      </c>
      <c r="J3020" s="465" t="e">
        <v>#N/A</v>
      </c>
      <c r="K3020" s="465" t="e">
        <v>#N/A</v>
      </c>
      <c r="L3020" s="464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spojovacia lišta H08/16 3m oliva</v>
      </c>
      <c r="C3021" s="185">
        <f t="shared" si="95"/>
        <v>0</v>
      </c>
      <c r="D3021" s="409" t="s">
        <v>3170</v>
      </c>
      <c r="E3021" s="409" t="s">
        <v>3973</v>
      </c>
      <c r="F3021" s="409" t="s">
        <v>3974</v>
      </c>
      <c r="G3021" s="409" t="s">
        <v>3975</v>
      </c>
      <c r="H3021" s="465">
        <v>0</v>
      </c>
      <c r="I3021" s="465">
        <v>0</v>
      </c>
      <c r="J3021" s="465">
        <v>33.774619999999999</v>
      </c>
      <c r="K3021" s="465">
        <v>0</v>
      </c>
      <c r="L3021" s="464" t="s">
        <v>540</v>
      </c>
      <c r="O3021">
        <v>0</v>
      </c>
      <c r="P3021" t="s">
        <v>8989</v>
      </c>
    </row>
    <row r="3022" spans="1:16" ht="14.4" x14ac:dyDescent="0.3">
      <c r="A3022">
        <v>238027</v>
      </c>
      <c r="B3022" t="str">
        <f t="shared" si="94"/>
        <v>SEVROLL Maxim horné vedenie 4,3m oliva</v>
      </c>
      <c r="C3022" s="185" t="e">
        <f t="shared" si="95"/>
        <v>#N/A</v>
      </c>
      <c r="D3022" s="409" t="s">
        <v>3171</v>
      </c>
      <c r="E3022" s="409" t="s">
        <v>5019</v>
      </c>
      <c r="F3022" s="409" t="s">
        <v>1131</v>
      </c>
      <c r="G3022" s="409" t="s">
        <v>5020</v>
      </c>
      <c r="H3022" s="465" t="e">
        <v>#N/A</v>
      </c>
      <c r="I3022" s="465" t="e">
        <v>#N/A</v>
      </c>
      <c r="J3022" s="465" t="e">
        <v>#N/A</v>
      </c>
      <c r="K3022" s="465" t="e">
        <v>#N/A</v>
      </c>
      <c r="L3022" s="464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str">
        <f t="shared" si="94"/>
        <v>SEVROLL Maxim II spodné vedenie 4,3m oliva</v>
      </c>
      <c r="C3023" s="185" t="e">
        <f t="shared" si="95"/>
        <v>#N/A</v>
      </c>
      <c r="D3023" s="409" t="s">
        <v>3172</v>
      </c>
      <c r="E3023" s="409" t="s">
        <v>4821</v>
      </c>
      <c r="F3023" s="409" t="s">
        <v>1127</v>
      </c>
      <c r="G3023" s="409" t="s">
        <v>4822</v>
      </c>
      <c r="H3023" s="465" t="e">
        <v>#N/A</v>
      </c>
      <c r="I3023" s="465" t="e">
        <v>#N/A</v>
      </c>
      <c r="J3023" s="465" t="e">
        <v>#N/A</v>
      </c>
      <c r="K3023" s="465" t="e">
        <v>#N/A</v>
      </c>
      <c r="L3023" s="464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str">
        <f t="shared" si="94"/>
        <v>SEVROLL Maxim II maska 4,3m oliva</v>
      </c>
      <c r="C3024" s="185" t="e">
        <f t="shared" si="95"/>
        <v>#N/A</v>
      </c>
      <c r="D3024" s="409" t="s">
        <v>3173</v>
      </c>
      <c r="E3024" s="409" t="s">
        <v>4314</v>
      </c>
      <c r="F3024" s="409" t="s">
        <v>1130</v>
      </c>
      <c r="G3024" s="409" t="s">
        <v>4315</v>
      </c>
      <c r="H3024" s="465" t="e">
        <v>#N/A</v>
      </c>
      <c r="I3024" s="465" t="e">
        <v>#N/A</v>
      </c>
      <c r="J3024" s="465" t="e">
        <v>#N/A</v>
      </c>
      <c r="K3024" s="465" t="e">
        <v>#N/A</v>
      </c>
      <c r="L3024" s="464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str">
        <f t="shared" si="94"/>
        <v>SEVROLL Prosper II úch lišta 2 7m oliva</v>
      </c>
      <c r="C3025" s="185" t="e">
        <f t="shared" si="95"/>
        <v>#N/A</v>
      </c>
      <c r="D3025" s="409" t="s">
        <v>3174</v>
      </c>
      <c r="E3025" s="409" t="s">
        <v>4719</v>
      </c>
      <c r="F3025" s="409" t="s">
        <v>1106</v>
      </c>
      <c r="G3025" s="409" t="s">
        <v>4720</v>
      </c>
      <c r="H3025" s="465" t="e">
        <v>#N/A</v>
      </c>
      <c r="I3025" s="465" t="e">
        <v>#N/A</v>
      </c>
      <c r="J3025" s="465" t="e">
        <v>#N/A</v>
      </c>
      <c r="K3025" s="465" t="e">
        <v>#N/A</v>
      </c>
      <c r="L3025" s="464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str">
        <f t="shared" si="94"/>
        <v>SEVROLL Maxim vodiaca lišta 4,3m oliva</v>
      </c>
      <c r="C3026" s="185" t="e">
        <f t="shared" si="95"/>
        <v>#N/A</v>
      </c>
      <c r="D3026" s="409" t="s">
        <v>3175</v>
      </c>
      <c r="E3026" s="409" t="s">
        <v>4925</v>
      </c>
      <c r="F3026" s="409" t="s">
        <v>4926</v>
      </c>
      <c r="G3026" s="409" t="s">
        <v>4927</v>
      </c>
      <c r="H3026" s="465" t="e">
        <v>#N/A</v>
      </c>
      <c r="I3026" s="465" t="e">
        <v>#N/A</v>
      </c>
      <c r="J3026" s="465" t="e">
        <v>#N/A</v>
      </c>
      <c r="K3026" s="465" t="e">
        <v>#N/A</v>
      </c>
      <c r="L3026" s="464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str">
        <f t="shared" si="94"/>
        <v>SEVROLL Maxim spodná krycia lišta 4,3m 18mm oliva</v>
      </c>
      <c r="C3027" s="185" t="e">
        <f t="shared" si="95"/>
        <v>#N/A</v>
      </c>
      <c r="D3027" s="409" t="s">
        <v>3176</v>
      </c>
      <c r="E3027" s="409" t="s">
        <v>5025</v>
      </c>
      <c r="F3027" s="409" t="s">
        <v>5026</v>
      </c>
      <c r="G3027" s="409" t="s">
        <v>5027</v>
      </c>
      <c r="H3027" s="465" t="e">
        <v>#N/A</v>
      </c>
      <c r="I3027" s="465" t="e">
        <v>#N/A</v>
      </c>
      <c r="J3027" s="465" t="e">
        <v>#N/A</v>
      </c>
      <c r="K3027" s="465" t="e">
        <v>#N/A</v>
      </c>
      <c r="L3027" s="464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str">
        <f t="shared" si="94"/>
        <v>SEVROLL Maxim spojovacia lišta H18 1,8m oliv</v>
      </c>
      <c r="C3028" s="185" t="e">
        <f t="shared" si="95"/>
        <v>#N/A</v>
      </c>
      <c r="D3028" s="409" t="s">
        <v>3177</v>
      </c>
      <c r="E3028" s="409" t="s">
        <v>3966</v>
      </c>
      <c r="F3028" s="409" t="s">
        <v>1126</v>
      </c>
      <c r="G3028" s="409" t="s">
        <v>3967</v>
      </c>
      <c r="H3028" s="465" t="e">
        <v>#N/A</v>
      </c>
      <c r="I3028" s="465" t="e">
        <v>#N/A</v>
      </c>
      <c r="J3028" s="465" t="e">
        <v>#N/A</v>
      </c>
      <c r="K3028" s="465" t="e">
        <v>#N/A</v>
      </c>
      <c r="L3028" s="464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str">
        <f t="shared" si="94"/>
        <v>SEVROLL Maxim spojovacia lišta H18 2,5m oliv</v>
      </c>
      <c r="C3029" s="185" t="e">
        <f t="shared" si="95"/>
        <v>#N/A</v>
      </c>
      <c r="D3029" s="409" t="s">
        <v>3178</v>
      </c>
      <c r="E3029" s="409" t="s">
        <v>4210</v>
      </c>
      <c r="F3029" s="409" t="s">
        <v>1125</v>
      </c>
      <c r="G3029" s="409" t="s">
        <v>4211</v>
      </c>
      <c r="H3029" s="465" t="e">
        <v>#N/A</v>
      </c>
      <c r="I3029" s="465" t="e">
        <v>#N/A</v>
      </c>
      <c r="J3029" s="465" t="e">
        <v>#N/A</v>
      </c>
      <c r="K3029" s="465" t="e">
        <v>#N/A</v>
      </c>
      <c r="L3029" s="464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str">
        <f t="shared" si="94"/>
        <v>SEVROLL Maxim spojovacia lišta H25 1,8m oliv</v>
      </c>
      <c r="C3030" s="185" t="e">
        <f t="shared" si="95"/>
        <v>#N/A</v>
      </c>
      <c r="D3030" s="409" t="s">
        <v>3179</v>
      </c>
      <c r="E3030" s="409" t="s">
        <v>4372</v>
      </c>
      <c r="F3030" s="409" t="s">
        <v>1124</v>
      </c>
      <c r="G3030" s="409" t="s">
        <v>4373</v>
      </c>
      <c r="H3030" s="465" t="e">
        <v>#N/A</v>
      </c>
      <c r="I3030" s="465" t="e">
        <v>#N/A</v>
      </c>
      <c r="J3030" s="465" t="e">
        <v>#N/A</v>
      </c>
      <c r="K3030" s="465" t="e">
        <v>#N/A</v>
      </c>
      <c r="L3030" s="464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str">
        <f t="shared" si="94"/>
        <v>SEVROLL Maxim spojovacia lišta H25 2,5m oliv</v>
      </c>
      <c r="C3031" s="185" t="e">
        <f t="shared" si="95"/>
        <v>#N/A</v>
      </c>
      <c r="D3031" s="409" t="s">
        <v>3180</v>
      </c>
      <c r="E3031" s="409" t="s">
        <v>4575</v>
      </c>
      <c r="F3031" s="409" t="s">
        <v>1123</v>
      </c>
      <c r="G3031" s="409" t="s">
        <v>4576</v>
      </c>
      <c r="H3031" s="465" t="e">
        <v>#N/A</v>
      </c>
      <c r="I3031" s="465" t="e">
        <v>#N/A</v>
      </c>
      <c r="J3031" s="465" t="e">
        <v>#N/A</v>
      </c>
      <c r="K3031" s="465" t="e">
        <v>#N/A</v>
      </c>
      <c r="L3031" s="464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vzorkovník profilov Simple (krabička</v>
      </c>
      <c r="C3032" s="185">
        <f t="shared" si="95"/>
        <v>0</v>
      </c>
      <c r="D3032" s="409" t="s">
        <v>3181</v>
      </c>
      <c r="E3032" s="409" t="s">
        <v>5705</v>
      </c>
      <c r="F3032" s="409" t="s">
        <v>1068</v>
      </c>
      <c r="G3032" s="409" t="s">
        <v>5706</v>
      </c>
      <c r="H3032" s="465">
        <v>0</v>
      </c>
      <c r="I3032" s="465">
        <v>0</v>
      </c>
      <c r="J3032" s="465">
        <v>0</v>
      </c>
      <c r="K3032" s="465">
        <v>0</v>
      </c>
      <c r="L3032" s="464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str">
        <f t="shared" si="94"/>
        <v>SEVROLL spojovacia lišta Simple/Blue H25 3m</v>
      </c>
      <c r="C3033" s="185" t="e">
        <f t="shared" si="95"/>
        <v>#N/A</v>
      </c>
      <c r="D3033" s="409" t="s">
        <v>1320</v>
      </c>
      <c r="E3033" s="409" t="s">
        <v>1772</v>
      </c>
      <c r="F3033" s="409" t="s">
        <v>2153</v>
      </c>
      <c r="G3033" s="409" t="s">
        <v>5780</v>
      </c>
      <c r="H3033" s="465" t="e">
        <v>#N/A</v>
      </c>
      <c r="I3033" s="465" t="e">
        <v>#N/A</v>
      </c>
      <c r="J3033" s="465" t="e">
        <v>#N/A</v>
      </c>
      <c r="K3033" s="465" t="e">
        <v>#N/A</v>
      </c>
      <c r="L3033" s="464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spojovacia lišta Simple/Blue H25 3m</v>
      </c>
      <c r="C3034" s="185">
        <f t="shared" si="95"/>
        <v>0</v>
      </c>
      <c r="D3034" s="409" t="s">
        <v>1321</v>
      </c>
      <c r="E3034" s="409" t="s">
        <v>1772</v>
      </c>
      <c r="F3034" s="409" t="s">
        <v>2153</v>
      </c>
      <c r="G3034" s="409" t="s">
        <v>5781</v>
      </c>
      <c r="H3034" s="465">
        <v>0</v>
      </c>
      <c r="I3034" s="465">
        <v>0</v>
      </c>
      <c r="J3034" s="465">
        <v>44.507080000000002</v>
      </c>
      <c r="K3034" s="465">
        <v>0</v>
      </c>
      <c r="L3034" s="464" t="s">
        <v>539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dorazový kartáč zásuvný 14x4mm, 50m</v>
      </c>
      <c r="C3035" s="185">
        <f t="shared" si="95"/>
        <v>15.405379999999999</v>
      </c>
      <c r="D3035" s="409" t="s">
        <v>3182</v>
      </c>
      <c r="E3035" s="409" t="s">
        <v>5128</v>
      </c>
      <c r="F3035" s="409" t="s">
        <v>5129</v>
      </c>
      <c r="G3035" s="409" t="s">
        <v>5130</v>
      </c>
      <c r="H3035" s="465">
        <v>454.65951999999999</v>
      </c>
      <c r="I3035" s="465">
        <v>15.405379999999999</v>
      </c>
      <c r="J3035" s="465">
        <v>68.401200000000003</v>
      </c>
      <c r="K3035" s="465">
        <v>6314.0249899999999</v>
      </c>
      <c r="L3035" s="464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Focus II 16mm úch.lišta 2,7m strieborná</v>
      </c>
      <c r="C3036" s="185">
        <f t="shared" si="95"/>
        <v>8.3012099999999993</v>
      </c>
      <c r="D3036" s="409" t="s">
        <v>3183</v>
      </c>
      <c r="E3036" s="409" t="s">
        <v>3801</v>
      </c>
      <c r="F3036" s="409" t="s">
        <v>1059</v>
      </c>
      <c r="G3036" s="409" t="s">
        <v>3802</v>
      </c>
      <c r="H3036" s="465">
        <v>230.87560999999999</v>
      </c>
      <c r="I3036" s="465">
        <v>8.3012099999999993</v>
      </c>
      <c r="J3036" s="465">
        <v>28.545750000000002</v>
      </c>
      <c r="K3036" s="465">
        <v>3308.5562300000001</v>
      </c>
      <c r="L3036" s="464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úchytová lišta 2,7m strieborná</v>
      </c>
      <c r="C3037" s="185">
        <f t="shared" si="95"/>
        <v>8.3012099999999993</v>
      </c>
      <c r="D3037" s="409" t="s">
        <v>3184</v>
      </c>
      <c r="E3037" s="409" t="s">
        <v>3824</v>
      </c>
      <c r="F3037" s="409" t="s">
        <v>3825</v>
      </c>
      <c r="G3037" s="409" t="s">
        <v>3826</v>
      </c>
      <c r="H3037" s="465">
        <v>230.87560999999999</v>
      </c>
      <c r="I3037" s="465">
        <v>8.3012099999999993</v>
      </c>
      <c r="J3037" s="465">
        <v>28.545750000000002</v>
      </c>
      <c r="K3037" s="465">
        <v>3308.5562300000001</v>
      </c>
      <c r="L3037" s="464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úchytová lišta 2,7m oliva</v>
      </c>
      <c r="C3038" s="185">
        <f t="shared" si="95"/>
        <v>10.61722</v>
      </c>
      <c r="D3038" s="409" t="s">
        <v>3185</v>
      </c>
      <c r="E3038" s="409" t="s">
        <v>3927</v>
      </c>
      <c r="F3038" s="409" t="s">
        <v>3185</v>
      </c>
      <c r="G3038" s="409" t="s">
        <v>3928</v>
      </c>
      <c r="H3038" s="465">
        <v>295.28917999999999</v>
      </c>
      <c r="I3038" s="465">
        <v>10.61722</v>
      </c>
      <c r="J3038" s="465">
        <v>36.509929999999997</v>
      </c>
      <c r="K3038" s="465">
        <v>4231.6330699999999</v>
      </c>
      <c r="L3038" s="464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Oaza II úch.lišta 2,7m strieborná</v>
      </c>
      <c r="C3039" s="185">
        <f t="shared" si="95"/>
        <v>15.17118</v>
      </c>
      <c r="D3039" s="409" t="s">
        <v>3186</v>
      </c>
      <c r="E3039" s="409" t="s">
        <v>4383</v>
      </c>
      <c r="F3039" s="409" t="s">
        <v>1221</v>
      </c>
      <c r="G3039" s="409" t="s">
        <v>4384</v>
      </c>
      <c r="H3039" s="465">
        <v>416.53017999999997</v>
      </c>
      <c r="I3039" s="465">
        <v>15.17118</v>
      </c>
      <c r="J3039" s="465">
        <v>64.823660000000004</v>
      </c>
      <c r="K3039" s="465">
        <v>5782.5401700000002</v>
      </c>
      <c r="L3039" s="464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Oaza II úch. Lišta 2,7m oliva</v>
      </c>
      <c r="C3040" s="185">
        <f t="shared" si="95"/>
        <v>16.862639999999999</v>
      </c>
      <c r="D3040" s="409" t="s">
        <v>3187</v>
      </c>
      <c r="E3040" s="409" t="s">
        <v>4432</v>
      </c>
      <c r="F3040" s="409" t="s">
        <v>1222</v>
      </c>
      <c r="G3040" s="409" t="s">
        <v>4433</v>
      </c>
      <c r="H3040" s="465">
        <v>468.98869999999999</v>
      </c>
      <c r="I3040" s="465">
        <v>16.862639999999999</v>
      </c>
      <c r="J3040" s="465">
        <v>72.050979999999996</v>
      </c>
      <c r="K3040" s="465">
        <v>6720.8289699999996</v>
      </c>
      <c r="L3040" s="464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str">
        <f t="shared" si="94"/>
        <v>SEVROLL Oaza II úchytová lišta 2,7m zlatá</v>
      </c>
      <c r="C3041" s="185" t="e">
        <f t="shared" si="95"/>
        <v>#N/A</v>
      </c>
      <c r="D3041" s="409" t="s">
        <v>3188</v>
      </c>
      <c r="E3041" s="409" t="s">
        <v>4385</v>
      </c>
      <c r="F3041" s="409" t="s">
        <v>1122</v>
      </c>
      <c r="G3041" s="409" t="s">
        <v>4386</v>
      </c>
      <c r="H3041" s="465" t="e">
        <v>#N/A</v>
      </c>
      <c r="I3041" s="465" t="e">
        <v>#N/A</v>
      </c>
      <c r="J3041" s="465" t="e">
        <v>#N/A</v>
      </c>
      <c r="K3041" s="465" t="e">
        <v>#N/A</v>
      </c>
      <c r="L3041" s="464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Hide N spodné vedenie 6m strieborná</v>
      </c>
      <c r="C3042" s="185">
        <f t="shared" si="95"/>
        <v>25.450099999999999</v>
      </c>
      <c r="D3042" s="409" t="s">
        <v>3189</v>
      </c>
      <c r="E3042" s="409" t="s">
        <v>1933</v>
      </c>
      <c r="F3042" s="409" t="s">
        <v>4681</v>
      </c>
      <c r="G3042" s="409" t="s">
        <v>2453</v>
      </c>
      <c r="H3042" s="465">
        <v>674.72577999999999</v>
      </c>
      <c r="I3042" s="465">
        <v>25.450099999999999</v>
      </c>
      <c r="J3042" s="465">
        <v>86.828620000000001</v>
      </c>
      <c r="K3042" s="465">
        <v>9856.0064600000005</v>
      </c>
      <c r="L3042" s="464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Hide N spodné vedenie 1,7m strieborná</v>
      </c>
      <c r="C3043" s="185">
        <f t="shared" si="95"/>
        <v>7.2082600000000001</v>
      </c>
      <c r="D3043" s="409" t="s">
        <v>3190</v>
      </c>
      <c r="E3043" s="409" t="s">
        <v>3834</v>
      </c>
      <c r="F3043" s="409" t="s">
        <v>3835</v>
      </c>
      <c r="G3043" s="409" t="s">
        <v>3836</v>
      </c>
      <c r="H3043" s="465">
        <v>191.10332</v>
      </c>
      <c r="I3043" s="465">
        <v>7.2082600000000001</v>
      </c>
      <c r="J3043" s="465">
        <v>24.60145</v>
      </c>
      <c r="K3043" s="465">
        <v>2791.5274800000002</v>
      </c>
      <c r="L3043" s="464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bočná krytka profilu Single+pozic.</v>
      </c>
      <c r="C3044" s="185">
        <f t="shared" si="95"/>
        <v>27.01146</v>
      </c>
      <c r="D3044" s="409" t="s">
        <v>3191</v>
      </c>
      <c r="E3044" s="409" t="s">
        <v>6123</v>
      </c>
      <c r="F3044" s="409" t="s">
        <v>6124</v>
      </c>
      <c r="G3044" s="409" t="s">
        <v>6125</v>
      </c>
      <c r="H3044" s="465">
        <v>716.11999000000003</v>
      </c>
      <c r="I3044" s="465">
        <v>27.01146</v>
      </c>
      <c r="J3044" s="465">
        <v>92.155529999999999</v>
      </c>
      <c r="K3044" s="465">
        <v>10460.66942</v>
      </c>
      <c r="L3044" s="464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stenová príchytka profilu Single</v>
      </c>
      <c r="C3045" s="185">
        <f t="shared" si="95"/>
        <v>7.6766699999999997</v>
      </c>
      <c r="D3045" s="409" t="s">
        <v>3192</v>
      </c>
      <c r="E3045" s="409" t="s">
        <v>3910</v>
      </c>
      <c r="F3045" s="409" t="s">
        <v>1097</v>
      </c>
      <c r="G3045" s="409" t="s">
        <v>3911</v>
      </c>
      <c r="H3045" s="465">
        <v>203.52159</v>
      </c>
      <c r="I3045" s="465">
        <v>7.6766699999999997</v>
      </c>
      <c r="J3045" s="465">
        <v>26.190639999999998</v>
      </c>
      <c r="K3045" s="465">
        <v>2972.9264600000001</v>
      </c>
      <c r="L3045" s="464" t="s">
        <v>539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horné vedenie 3m biela lesk</v>
      </c>
      <c r="C3046" s="185">
        <f t="shared" si="95"/>
        <v>32.476199999999999</v>
      </c>
      <c r="D3046" s="409" t="s">
        <v>3193</v>
      </c>
      <c r="E3046" s="409" t="s">
        <v>5269</v>
      </c>
      <c r="F3046" s="409" t="s">
        <v>5270</v>
      </c>
      <c r="G3046" s="409" t="s">
        <v>5271</v>
      </c>
      <c r="H3046" s="465">
        <v>903.23748000000001</v>
      </c>
      <c r="I3046" s="465">
        <v>32.476199999999999</v>
      </c>
      <c r="J3046" s="465">
        <v>131.79419999999999</v>
      </c>
      <c r="K3046" s="465">
        <v>12943.81868</v>
      </c>
      <c r="L3046" s="464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spojovacia lišta H18 3m biela lesk</v>
      </c>
      <c r="C3047" s="185">
        <f t="shared" si="95"/>
        <v>15.587540000000001</v>
      </c>
      <c r="D3047" s="409" t="s">
        <v>3194</v>
      </c>
      <c r="E3047" s="409" t="s">
        <v>5578</v>
      </c>
      <c r="F3047" s="409" t="s">
        <v>5579</v>
      </c>
      <c r="G3047" s="409" t="s">
        <v>5580</v>
      </c>
      <c r="H3047" s="465">
        <v>433.52503999999999</v>
      </c>
      <c r="I3047" s="465">
        <v>15.587540000000001</v>
      </c>
      <c r="J3047" s="465">
        <v>62.464799999999997</v>
      </c>
      <c r="K3047" s="465">
        <v>6212.6180999999997</v>
      </c>
      <c r="L3047" s="464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spodné vedenie  3m biela lesk</v>
      </c>
      <c r="C3048" s="185">
        <f t="shared" si="95"/>
        <v>18.94445</v>
      </c>
      <c r="D3048" s="409" t="s">
        <v>3195</v>
      </c>
      <c r="E3048" s="409" t="s">
        <v>5180</v>
      </c>
      <c r="F3048" s="409" t="s">
        <v>5181</v>
      </c>
      <c r="G3048" s="409" t="s">
        <v>5182</v>
      </c>
      <c r="H3048" s="465">
        <v>526.88854000000003</v>
      </c>
      <c r="I3048" s="465">
        <v>18.94445</v>
      </c>
      <c r="J3048" s="465">
        <v>71.808000000000007</v>
      </c>
      <c r="K3048" s="465">
        <v>7550.5609299999996</v>
      </c>
      <c r="L3048" s="464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úchytová lišta 2,7m biela lesk</v>
      </c>
      <c r="C3049" s="185">
        <f t="shared" si="95"/>
        <v>16.368220000000001</v>
      </c>
      <c r="D3049" s="409" t="s">
        <v>3196</v>
      </c>
      <c r="E3049" s="409" t="s">
        <v>4456</v>
      </c>
      <c r="F3049" s="409" t="s">
        <v>4457</v>
      </c>
      <c r="G3049" s="409" t="s">
        <v>4458</v>
      </c>
      <c r="H3049" s="465">
        <v>455.23748000000001</v>
      </c>
      <c r="I3049" s="465">
        <v>16.368220000000001</v>
      </c>
      <c r="J3049" s="465">
        <v>60.088200000000001</v>
      </c>
      <c r="K3049" s="465">
        <v>6523.7675799999997</v>
      </c>
      <c r="L3049" s="464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str">
        <f t="shared" si="94"/>
        <v>SEVROLL unášač k tlmiču 11027</v>
      </c>
      <c r="C3050" s="185" t="e">
        <f t="shared" si="95"/>
        <v>#N/A</v>
      </c>
      <c r="D3050" s="409" t="s">
        <v>1069</v>
      </c>
      <c r="E3050" s="409" t="s">
        <v>6198</v>
      </c>
      <c r="F3050" s="409" t="s">
        <v>1070</v>
      </c>
      <c r="G3050" s="409" t="s">
        <v>6199</v>
      </c>
      <c r="H3050" s="465" t="e">
        <v>#N/A</v>
      </c>
      <c r="I3050" s="465" t="e">
        <v>#N/A</v>
      </c>
      <c r="J3050" s="465" t="e">
        <v>#N/A</v>
      </c>
      <c r="K3050" s="465" t="e">
        <v>#N/A</v>
      </c>
      <c r="L3050" s="464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montážny prípravok pre lamino 10/18mm</v>
      </c>
      <c r="C3051" s="185">
        <f t="shared" si="95"/>
        <v>5.9477399999999996</v>
      </c>
      <c r="D3051" s="409" t="s">
        <v>3197</v>
      </c>
      <c r="E3051" s="409" t="s">
        <v>5725</v>
      </c>
      <c r="F3051" s="409" t="s">
        <v>5726</v>
      </c>
      <c r="G3051" s="409" t="s">
        <v>5727</v>
      </c>
      <c r="H3051" s="465">
        <v>149.2304</v>
      </c>
      <c r="I3051" s="465">
        <v>5.9477399999999996</v>
      </c>
      <c r="J3051" s="465">
        <v>26.004300000000001</v>
      </c>
      <c r="K3051" s="465">
        <v>2425.4100100000001</v>
      </c>
      <c r="L3051" s="464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montážny prípravok pre systém Maxim malý</v>
      </c>
      <c r="C3052" s="185">
        <f t="shared" si="95"/>
        <v>5.2530299999999999</v>
      </c>
      <c r="D3052" s="409" t="s">
        <v>3198</v>
      </c>
      <c r="E3052" s="409" t="s">
        <v>5728</v>
      </c>
      <c r="F3052" s="409" t="s">
        <v>5729</v>
      </c>
      <c r="G3052" s="409" t="s">
        <v>5730</v>
      </c>
      <c r="H3052" s="465">
        <v>131.7998</v>
      </c>
      <c r="I3052" s="465">
        <v>5.2530299999999999</v>
      </c>
      <c r="J3052" s="465">
        <v>22.921900000000001</v>
      </c>
      <c r="K3052" s="465">
        <v>2137.9153000000001</v>
      </c>
      <c r="L3052" s="464" t="s">
        <v>540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uhol. vedenie strieb.</v>
      </c>
      <c r="C3053" s="185">
        <f t="shared" si="95"/>
        <v>9.73245</v>
      </c>
      <c r="D3053" s="409" t="s">
        <v>3199</v>
      </c>
      <c r="E3053" s="409" t="s">
        <v>4103</v>
      </c>
      <c r="F3053" s="409" t="s">
        <v>4104</v>
      </c>
      <c r="G3053" s="409" t="s">
        <v>4105</v>
      </c>
      <c r="H3053" s="465">
        <v>270.68173000000002</v>
      </c>
      <c r="I3053" s="465">
        <v>9.73245</v>
      </c>
      <c r="J3053" s="465">
        <v>35.812199999999997</v>
      </c>
      <c r="K3053" s="465">
        <v>3878.9967499999998</v>
      </c>
      <c r="L3053" s="464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Optima spodné vedenie 6m surová</v>
      </c>
      <c r="C3054" s="185">
        <f t="shared" si="95"/>
        <v>24.9817</v>
      </c>
      <c r="D3054" s="409" t="s">
        <v>3200</v>
      </c>
      <c r="E3054" s="409" t="s">
        <v>4660</v>
      </c>
      <c r="F3054" s="409" t="s">
        <v>1118</v>
      </c>
      <c r="G3054" s="409" t="s">
        <v>4661</v>
      </c>
      <c r="H3054" s="465">
        <v>694.79805999999996</v>
      </c>
      <c r="I3054" s="465">
        <v>24.9817</v>
      </c>
      <c r="J3054" s="465">
        <v>85.905709999999999</v>
      </c>
      <c r="K3054" s="465">
        <v>9956.7835300000006</v>
      </c>
      <c r="L3054" s="464" t="s">
        <v>539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Optima horné vedenie 6m strieb</v>
      </c>
      <c r="C3055" s="185">
        <f t="shared" si="95"/>
        <v>81.684939999999997</v>
      </c>
      <c r="D3055" s="409" t="s">
        <v>3201</v>
      </c>
      <c r="E3055" s="409" t="s">
        <v>5067</v>
      </c>
      <c r="F3055" s="409" t="s">
        <v>1120</v>
      </c>
      <c r="G3055" s="409" t="s">
        <v>5068</v>
      </c>
      <c r="H3055" s="465">
        <v>2271.8449099999998</v>
      </c>
      <c r="I3055" s="465">
        <v>81.684939999999997</v>
      </c>
      <c r="J3055" s="465">
        <v>304.86430000000001</v>
      </c>
      <c r="K3055" s="465">
        <v>32556.60786</v>
      </c>
      <c r="L3055" s="464" t="s">
        <v>539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úchytová lišta 2,7m biela lesk</v>
      </c>
      <c r="C3056" s="185">
        <f t="shared" si="95"/>
        <v>21.598759999999999</v>
      </c>
      <c r="D3056" s="409" t="s">
        <v>3202</v>
      </c>
      <c r="E3056" s="409" t="s">
        <v>5239</v>
      </c>
      <c r="F3056" s="409" t="s">
        <v>5240</v>
      </c>
      <c r="G3056" s="409" t="s">
        <v>5241</v>
      </c>
      <c r="H3056" s="465">
        <v>600.71082000000001</v>
      </c>
      <c r="I3056" s="465">
        <v>21.598759999999999</v>
      </c>
      <c r="J3056" s="465">
        <v>80.416799999999995</v>
      </c>
      <c r="K3056" s="465">
        <v>8608.4691000000003</v>
      </c>
      <c r="L3056" s="464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horná vodiaca lišta 3m biela lesk</v>
      </c>
      <c r="C3057" s="185">
        <f t="shared" si="95"/>
        <v>18.528089999999999</v>
      </c>
      <c r="D3057" s="409" t="s">
        <v>3203</v>
      </c>
      <c r="E3057" s="409" t="s">
        <v>5338</v>
      </c>
      <c r="F3057" s="409" t="s">
        <v>5339</v>
      </c>
      <c r="G3057" s="409" t="s">
        <v>5340</v>
      </c>
      <c r="H3057" s="465">
        <v>515.30856000000006</v>
      </c>
      <c r="I3057" s="465">
        <v>18.528089999999999</v>
      </c>
      <c r="J3057" s="465">
        <v>105.8454</v>
      </c>
      <c r="K3057" s="465">
        <v>7384.61438</v>
      </c>
      <c r="L3057" s="464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spodná krycia lišta 3m 10mm biela lesk</v>
      </c>
      <c r="C3058" s="185">
        <f t="shared" si="95"/>
        <v>33.67324</v>
      </c>
      <c r="D3058" s="409" t="s">
        <v>3204</v>
      </c>
      <c r="E3058" s="409" t="s">
        <v>5521</v>
      </c>
      <c r="F3058" s="409" t="s">
        <v>5522</v>
      </c>
      <c r="G3058" s="409" t="s">
        <v>5523</v>
      </c>
      <c r="H3058" s="465">
        <v>936.52988000000005</v>
      </c>
      <c r="I3058" s="465">
        <v>33.67324</v>
      </c>
      <c r="J3058" s="465">
        <v>124.22580000000001</v>
      </c>
      <c r="K3058" s="465">
        <v>13420.91432</v>
      </c>
      <c r="L3058" s="464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uholník Mini 17x11mm 3m biela lesk</v>
      </c>
      <c r="C3059" s="185">
        <f t="shared" si="95"/>
        <v>5.6208799999999997</v>
      </c>
      <c r="D3059" s="409" t="s">
        <v>5613</v>
      </c>
      <c r="E3059" s="409" t="s">
        <v>5614</v>
      </c>
      <c r="F3059" s="409" t="s">
        <v>5615</v>
      </c>
      <c r="G3059" s="409" t="s">
        <v>5616</v>
      </c>
      <c r="H3059" s="465">
        <v>156.32956999999999</v>
      </c>
      <c r="I3059" s="465">
        <v>5.6208799999999997</v>
      </c>
      <c r="J3059" s="465">
        <v>21.583200000000001</v>
      </c>
      <c r="K3059" s="465">
        <v>2240.27646</v>
      </c>
      <c r="L3059" s="464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horné vedenie  2,35m biela lesk</v>
      </c>
      <c r="C3060" s="185">
        <f t="shared" si="95"/>
        <v>25.450099999999999</v>
      </c>
      <c r="D3060" s="409" t="s">
        <v>3205</v>
      </c>
      <c r="E3060" s="409" t="s">
        <v>5258</v>
      </c>
      <c r="F3060" s="409" t="s">
        <v>5259</v>
      </c>
      <c r="G3060" s="409" t="s">
        <v>5260</v>
      </c>
      <c r="H3060" s="465">
        <v>707.82552999999996</v>
      </c>
      <c r="I3060" s="465">
        <v>25.450099999999999</v>
      </c>
      <c r="J3060" s="465">
        <v>103.20359999999999</v>
      </c>
      <c r="K3060" s="465">
        <v>10143.473319999999</v>
      </c>
      <c r="L3060" s="464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horná vodiaca lišta 2,35m biela lesk</v>
      </c>
      <c r="C3061" s="185">
        <f t="shared" si="95"/>
        <v>14.52061</v>
      </c>
      <c r="D3061" s="409" t="s">
        <v>3206</v>
      </c>
      <c r="E3061" s="409" t="s">
        <v>5319</v>
      </c>
      <c r="F3061" s="409" t="s">
        <v>5320</v>
      </c>
      <c r="G3061" s="409" t="s">
        <v>5321</v>
      </c>
      <c r="H3061" s="465">
        <v>403.85138000000001</v>
      </c>
      <c r="I3061" s="465">
        <v>14.52061</v>
      </c>
      <c r="J3061" s="465">
        <v>82.936199999999999</v>
      </c>
      <c r="K3061" s="465">
        <v>5787.3805000000002</v>
      </c>
      <c r="L3061" s="464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spodná krycia lišta 2,35m 10mm biela lesk</v>
      </c>
      <c r="C3062" s="185">
        <f t="shared" si="95"/>
        <v>26.30885</v>
      </c>
      <c r="D3062" s="409" t="s">
        <v>3207</v>
      </c>
      <c r="E3062" s="409" t="s">
        <v>5506</v>
      </c>
      <c r="F3062" s="409" t="s">
        <v>5507</v>
      </c>
      <c r="G3062" s="409" t="s">
        <v>5508</v>
      </c>
      <c r="H3062" s="465">
        <v>731.70920999999998</v>
      </c>
      <c r="I3062" s="465">
        <v>26.30885</v>
      </c>
      <c r="J3062" s="465">
        <v>97.287599999999998</v>
      </c>
      <c r="K3062" s="465">
        <v>10485.73761</v>
      </c>
      <c r="L3062" s="464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uholník 22x22mm 3m stieborná</v>
      </c>
      <c r="C3063" s="185">
        <f t="shared" si="95"/>
        <v>10.2529</v>
      </c>
      <c r="D3063" s="409" t="s">
        <v>3208</v>
      </c>
      <c r="E3063" s="409" t="s">
        <v>4106</v>
      </c>
      <c r="F3063" s="409" t="s">
        <v>4107</v>
      </c>
      <c r="G3063" s="409" t="s">
        <v>4108</v>
      </c>
      <c r="H3063" s="465">
        <v>285.15669000000003</v>
      </c>
      <c r="I3063" s="465">
        <v>10.2529</v>
      </c>
      <c r="J3063" s="465">
        <v>37.790999999999997</v>
      </c>
      <c r="K3063" s="465">
        <v>4086.4297499999998</v>
      </c>
      <c r="L3063" s="464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uholník 10x10mm 3m strieborná</v>
      </c>
      <c r="C3064" s="185">
        <f t="shared" si="95"/>
        <v>4.1636199999999999</v>
      </c>
      <c r="D3064" s="409" t="s">
        <v>3209</v>
      </c>
      <c r="E3064" s="409" t="s">
        <v>3664</v>
      </c>
      <c r="F3064" s="409" t="s">
        <v>3665</v>
      </c>
      <c r="G3064" s="409" t="s">
        <v>3666</v>
      </c>
      <c r="H3064" s="465">
        <v>115.79968</v>
      </c>
      <c r="I3064" s="465">
        <v>4.1636199999999999</v>
      </c>
      <c r="J3064" s="465">
        <v>15.2898</v>
      </c>
      <c r="K3064" s="465">
        <v>1659.4639199999999</v>
      </c>
      <c r="L3064" s="464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uholník 10x18mm 3m strieborná</v>
      </c>
      <c r="C3065" s="185">
        <f t="shared" si="95"/>
        <v>5.69895</v>
      </c>
      <c r="D3065" s="409" t="s">
        <v>3210</v>
      </c>
      <c r="E3065" s="409" t="s">
        <v>3779</v>
      </c>
      <c r="F3065" s="409" t="s">
        <v>3780</v>
      </c>
      <c r="G3065" s="409" t="s">
        <v>3781</v>
      </c>
      <c r="H3065" s="465">
        <v>158.50081</v>
      </c>
      <c r="I3065" s="465">
        <v>5.69895</v>
      </c>
      <c r="J3065" s="465">
        <v>21.012</v>
      </c>
      <c r="K3065" s="465">
        <v>2271.3912799999998</v>
      </c>
      <c r="L3065" s="464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sada kovania ZSE-18 PLUS PRINCE</v>
      </c>
      <c r="C3066" s="185">
        <f t="shared" si="95"/>
        <v>78.380070000000003</v>
      </c>
      <c r="D3066" s="409" t="s">
        <v>1346</v>
      </c>
      <c r="E3066" s="409" t="s">
        <v>1798</v>
      </c>
      <c r="F3066" s="409" t="s">
        <v>2158</v>
      </c>
      <c r="G3066" s="409" t="s">
        <v>5811</v>
      </c>
      <c r="H3066" s="465">
        <v>2179.9289100000001</v>
      </c>
      <c r="I3066" s="465">
        <v>78.380070000000003</v>
      </c>
      <c r="J3066" s="465">
        <v>273.45179999999999</v>
      </c>
      <c r="K3066" s="465">
        <v>31239.40826</v>
      </c>
      <c r="L3066" s="464" t="s">
        <v>539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úchytová lišta 18mm 2,7m biela lesk</v>
      </c>
      <c r="C3067" s="185">
        <f t="shared" si="95"/>
        <v>16.446280000000002</v>
      </c>
      <c r="D3067" s="409" t="s">
        <v>3211</v>
      </c>
      <c r="E3067" s="409" t="s">
        <v>4474</v>
      </c>
      <c r="F3067" s="409" t="s">
        <v>4475</v>
      </c>
      <c r="G3067" s="409" t="s">
        <v>4476</v>
      </c>
      <c r="H3067" s="465">
        <v>457.40872000000002</v>
      </c>
      <c r="I3067" s="465">
        <v>16.446280000000002</v>
      </c>
      <c r="J3067" s="465">
        <v>66.463200000000001</v>
      </c>
      <c r="K3067" s="465">
        <v>6554.8824199999999</v>
      </c>
      <c r="L3067" s="464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uholník Mini 17x11mm 3m biela mat</v>
      </c>
      <c r="C3068" s="185">
        <f t="shared" si="95"/>
        <v>5.6208799999999997</v>
      </c>
      <c r="D3068" s="409" t="s">
        <v>3746</v>
      </c>
      <c r="E3068" s="409" t="s">
        <v>3747</v>
      </c>
      <c r="F3068" s="409" t="s">
        <v>3748</v>
      </c>
      <c r="G3068" s="409" t="s">
        <v>3749</v>
      </c>
      <c r="H3068" s="465">
        <v>156.32956999999999</v>
      </c>
      <c r="I3068" s="465">
        <v>5.6208799999999997</v>
      </c>
      <c r="J3068" s="465">
        <v>21.583200000000001</v>
      </c>
      <c r="K3068" s="465">
        <v>2240.27646</v>
      </c>
      <c r="L3068" s="464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uholník Mini 17x11mm 2,35m biela lesk</v>
      </c>
      <c r="C3069" s="185">
        <f t="shared" si="95"/>
        <v>4.3978200000000003</v>
      </c>
      <c r="D3069" s="409" t="s">
        <v>3667</v>
      </c>
      <c r="E3069" s="409" t="s">
        <v>3668</v>
      </c>
      <c r="F3069" s="409" t="s">
        <v>3669</v>
      </c>
      <c r="G3069" s="409" t="s">
        <v>3670</v>
      </c>
      <c r="H3069" s="465">
        <v>122.31341</v>
      </c>
      <c r="I3069" s="465">
        <v>4.3978200000000003</v>
      </c>
      <c r="J3069" s="465">
        <v>16.901399999999999</v>
      </c>
      <c r="K3069" s="465">
        <v>1752.8088</v>
      </c>
      <c r="L3069" s="464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uholník Mini 17x11mm 1,7m biela lesk</v>
      </c>
      <c r="C3070" s="185">
        <f t="shared" si="95"/>
        <v>3.17476</v>
      </c>
      <c r="D3070" s="409" t="s">
        <v>3600</v>
      </c>
      <c r="E3070" s="409" t="s">
        <v>3601</v>
      </c>
      <c r="F3070" s="409" t="s">
        <v>3602</v>
      </c>
      <c r="G3070" s="409" t="s">
        <v>3603</v>
      </c>
      <c r="H3070" s="465">
        <v>88.297250000000005</v>
      </c>
      <c r="I3070" s="465">
        <v>3.17476</v>
      </c>
      <c r="J3070" s="465">
        <v>12.2094</v>
      </c>
      <c r="K3070" s="465">
        <v>1265.3411599999999</v>
      </c>
      <c r="L3070" s="464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spodná krycia lišta 1,7m 10mm biela lesk</v>
      </c>
      <c r="C3071" s="185">
        <f t="shared" si="95"/>
        <v>19.048539999999999</v>
      </c>
      <c r="D3071" s="409" t="s">
        <v>3212</v>
      </c>
      <c r="E3071" s="409" t="s">
        <v>5488</v>
      </c>
      <c r="F3071" s="409" t="s">
        <v>5489</v>
      </c>
      <c r="G3071" s="409" t="s">
        <v>5490</v>
      </c>
      <c r="H3071" s="465">
        <v>529.78351999999995</v>
      </c>
      <c r="I3071" s="465">
        <v>19.048539999999999</v>
      </c>
      <c r="J3071" s="465">
        <v>70.369799999999998</v>
      </c>
      <c r="K3071" s="465">
        <v>7592.0473700000002</v>
      </c>
      <c r="L3071" s="464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horná vodiaca lišta 1,7m biela lesk</v>
      </c>
      <c r="C3072" s="185">
        <f t="shared" si="95"/>
        <v>10.487109999999999</v>
      </c>
      <c r="D3072" s="409" t="s">
        <v>3213</v>
      </c>
      <c r="E3072" s="409" t="s">
        <v>5302</v>
      </c>
      <c r="F3072" s="409" t="s">
        <v>5303</v>
      </c>
      <c r="G3072" s="409" t="s">
        <v>5304</v>
      </c>
      <c r="H3072" s="465">
        <v>291.67043000000001</v>
      </c>
      <c r="I3072" s="465">
        <v>10.487109999999999</v>
      </c>
      <c r="J3072" s="465">
        <v>59.986199999999997</v>
      </c>
      <c r="K3072" s="465">
        <v>4179.7746299999999</v>
      </c>
      <c r="L3072" s="464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spojovacia lišta H08/18 3m biela mat</v>
      </c>
      <c r="C3073" s="185">
        <f t="shared" si="95"/>
        <v>11.47597</v>
      </c>
      <c r="D3073" s="409" t="s">
        <v>3214</v>
      </c>
      <c r="E3073" s="409" t="s">
        <v>4193</v>
      </c>
      <c r="F3073" s="409" t="s">
        <v>4194</v>
      </c>
      <c r="G3073" s="409" t="s">
        <v>4195</v>
      </c>
      <c r="H3073" s="465">
        <v>319.17286000000001</v>
      </c>
      <c r="I3073" s="465">
        <v>11.47597</v>
      </c>
      <c r="J3073" s="465">
        <v>42.829799999999999</v>
      </c>
      <c r="K3073" s="465">
        <v>4573.8973900000001</v>
      </c>
      <c r="L3073" s="464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spojovacia lišta H10 3m biela lesk</v>
      </c>
      <c r="C3074" s="185">
        <f t="shared" si="95"/>
        <v>15.82174</v>
      </c>
      <c r="D3074" s="409" t="s">
        <v>3215</v>
      </c>
      <c r="E3074" s="409" t="s">
        <v>4528</v>
      </c>
      <c r="F3074" s="409" t="s">
        <v>4529</v>
      </c>
      <c r="G3074" s="409" t="s">
        <v>4530</v>
      </c>
      <c r="H3074" s="465">
        <v>440.03877999999997</v>
      </c>
      <c r="I3074" s="465">
        <v>15.82174</v>
      </c>
      <c r="J3074" s="465">
        <v>67.289400000000001</v>
      </c>
      <c r="K3074" s="465">
        <v>6305.9629800000002</v>
      </c>
      <c r="L3074" s="464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úchytová lišta 2,7m biela mat</v>
      </c>
      <c r="C3075" s="185">
        <f t="shared" si="95"/>
        <v>16.368220000000001</v>
      </c>
      <c r="D3075" s="409" t="s">
        <v>3216</v>
      </c>
      <c r="E3075" s="409" t="s">
        <v>4423</v>
      </c>
      <c r="F3075" s="409" t="s">
        <v>4424</v>
      </c>
      <c r="G3075" s="409" t="s">
        <v>4425</v>
      </c>
      <c r="H3075" s="465">
        <v>455.23748000000001</v>
      </c>
      <c r="I3075" s="465">
        <v>16.368220000000001</v>
      </c>
      <c r="J3075" s="465">
        <v>60.088200000000001</v>
      </c>
      <c r="K3075" s="465">
        <v>6523.7675799999997</v>
      </c>
      <c r="L3075" s="464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spodné vedenie  3m biela mat</v>
      </c>
      <c r="C3076" s="185">
        <f t="shared" ref="C3076:C3139" si="97">IF($A$2=1,H3076,IF($A$2=2,I3076,IF($A$2=3,J3076,IF($A$2=4,K3076,IF($A$2&gt;4,O3076,"zadat jazyk")))))</f>
        <v>18.94445</v>
      </c>
      <c r="D3076" s="409" t="s">
        <v>3217</v>
      </c>
      <c r="E3076" s="409" t="s">
        <v>5183</v>
      </c>
      <c r="F3076" s="409" t="s">
        <v>5184</v>
      </c>
      <c r="G3076" s="409" t="s">
        <v>5185</v>
      </c>
      <c r="H3076" s="465">
        <v>526.88854000000003</v>
      </c>
      <c r="I3076" s="465">
        <v>18.94445</v>
      </c>
      <c r="J3076" s="465">
        <v>71.808000000000007</v>
      </c>
      <c r="K3076" s="465">
        <v>7550.5609299999996</v>
      </c>
      <c r="L3076" s="464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spodné vedenie  1,7m biela lesk</v>
      </c>
      <c r="C3077" s="185">
        <f t="shared" si="97"/>
        <v>10.851419999999999</v>
      </c>
      <c r="D3077" s="409" t="s">
        <v>3218</v>
      </c>
      <c r="E3077" s="409" t="s">
        <v>5145</v>
      </c>
      <c r="F3077" s="409" t="s">
        <v>5146</v>
      </c>
      <c r="G3077" s="409" t="s">
        <v>5147</v>
      </c>
      <c r="H3077" s="465">
        <v>301.80291999999997</v>
      </c>
      <c r="I3077" s="465">
        <v>10.851419999999999</v>
      </c>
      <c r="J3077" s="465">
        <v>40.698</v>
      </c>
      <c r="K3077" s="465">
        <v>4324.9779799999997</v>
      </c>
      <c r="L3077" s="464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spodné vedenie  2,35m biela lesk</v>
      </c>
      <c r="C3078" s="185">
        <f t="shared" si="97"/>
        <v>14.91095</v>
      </c>
      <c r="D3078" s="409" t="s">
        <v>3219</v>
      </c>
      <c r="E3078" s="409" t="s">
        <v>5165</v>
      </c>
      <c r="F3078" s="409" t="s">
        <v>5166</v>
      </c>
      <c r="G3078" s="409" t="s">
        <v>5167</v>
      </c>
      <c r="H3078" s="465">
        <v>414.70758000000001</v>
      </c>
      <c r="I3078" s="465">
        <v>14.91095</v>
      </c>
      <c r="J3078" s="465">
        <v>56.242800000000003</v>
      </c>
      <c r="K3078" s="465">
        <v>5942.9550600000002</v>
      </c>
      <c r="L3078" s="464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spodné vedenie  4,05m biela lesk</v>
      </c>
      <c r="C3079" s="185">
        <f t="shared" si="97"/>
        <v>25.658280000000001</v>
      </c>
      <c r="D3079" s="409" t="s">
        <v>3220</v>
      </c>
      <c r="E3079" s="409" t="s">
        <v>5198</v>
      </c>
      <c r="F3079" s="409" t="s">
        <v>5199</v>
      </c>
      <c r="G3079" s="409" t="s">
        <v>5200</v>
      </c>
      <c r="H3079" s="465">
        <v>713.61551999999995</v>
      </c>
      <c r="I3079" s="465">
        <v>25.658280000000001</v>
      </c>
      <c r="J3079" s="465">
        <v>96.930599999999998</v>
      </c>
      <c r="K3079" s="465">
        <v>10226.44657</v>
      </c>
      <c r="L3079" s="464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horné vedenie  4,05m biela lesk</v>
      </c>
      <c r="C3080" s="185">
        <f t="shared" si="97"/>
        <v>43.848080000000003</v>
      </c>
      <c r="D3080" s="409" t="s">
        <v>3221</v>
      </c>
      <c r="E3080" s="409" t="s">
        <v>5280</v>
      </c>
      <c r="F3080" s="409" t="s">
        <v>5281</v>
      </c>
      <c r="G3080" s="409" t="s">
        <v>5282</v>
      </c>
      <c r="H3080" s="465">
        <v>1219.5153600000001</v>
      </c>
      <c r="I3080" s="465">
        <v>43.848080000000003</v>
      </c>
      <c r="J3080" s="465">
        <v>177.9186</v>
      </c>
      <c r="K3080" s="465">
        <v>17476.229630000002</v>
      </c>
      <c r="L3080" s="464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horné vedenie  1,7m biela lesk</v>
      </c>
      <c r="C3081" s="185">
        <f t="shared" si="97"/>
        <v>18.39798</v>
      </c>
      <c r="D3081" s="409" t="s">
        <v>3222</v>
      </c>
      <c r="E3081" s="409" t="s">
        <v>5247</v>
      </c>
      <c r="F3081" s="409" t="s">
        <v>5248</v>
      </c>
      <c r="G3081" s="409" t="s">
        <v>5249</v>
      </c>
      <c r="H3081" s="465">
        <v>511.68982999999997</v>
      </c>
      <c r="I3081" s="465">
        <v>18.39798</v>
      </c>
      <c r="J3081" s="465">
        <v>74.653800000000004</v>
      </c>
      <c r="K3081" s="465">
        <v>7332.7563300000002</v>
      </c>
      <c r="L3081" s="464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úchytová lišta 2,7m strieborná</v>
      </c>
      <c r="C3082" s="185">
        <f t="shared" si="97"/>
        <v>20.68797</v>
      </c>
      <c r="D3082" s="409" t="s">
        <v>3223</v>
      </c>
      <c r="E3082" s="409" t="s">
        <v>4662</v>
      </c>
      <c r="F3082" s="409" t="s">
        <v>4663</v>
      </c>
      <c r="G3082" s="409" t="s">
        <v>4664</v>
      </c>
      <c r="H3082" s="465">
        <v>575.37965999999994</v>
      </c>
      <c r="I3082" s="465">
        <v>20.68797</v>
      </c>
      <c r="J3082" s="465">
        <v>78.988799999999998</v>
      </c>
      <c r="K3082" s="465">
        <v>8245.4615699999995</v>
      </c>
      <c r="L3082" s="464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Pax úchytová lišta 3m strieborná</v>
      </c>
      <c r="C3083" s="185">
        <f t="shared" si="97"/>
        <v>23.003979999999999</v>
      </c>
      <c r="D3083" s="409" t="s">
        <v>3224</v>
      </c>
      <c r="E3083" s="409" t="s">
        <v>4700</v>
      </c>
      <c r="F3083" s="409" t="s">
        <v>1117</v>
      </c>
      <c r="G3083" s="409" t="s">
        <v>4701</v>
      </c>
      <c r="H3083" s="465">
        <v>639.79319999999996</v>
      </c>
      <c r="I3083" s="465">
        <v>23.003979999999999</v>
      </c>
      <c r="J3083" s="465">
        <v>87.771000000000001</v>
      </c>
      <c r="K3083" s="465">
        <v>9168.5380100000002</v>
      </c>
      <c r="L3083" s="464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horná vodiaca lišta 3m strieborná</v>
      </c>
      <c r="C3084" s="185">
        <f t="shared" si="97"/>
        <v>22.587620000000001</v>
      </c>
      <c r="D3084" s="409" t="s">
        <v>3225</v>
      </c>
      <c r="E3084" s="409" t="s">
        <v>4708</v>
      </c>
      <c r="F3084" s="409" t="s">
        <v>4709</v>
      </c>
      <c r="G3084" s="409" t="s">
        <v>4710</v>
      </c>
      <c r="H3084" s="465">
        <v>628.21325000000002</v>
      </c>
      <c r="I3084" s="465">
        <v>22.587620000000001</v>
      </c>
      <c r="J3084" s="465">
        <v>86.302199999999999</v>
      </c>
      <c r="K3084" s="465">
        <v>9002.5918500000007</v>
      </c>
      <c r="L3084" s="464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Pax spodná krycia lišta 3m 4mm strieborná</v>
      </c>
      <c r="C3085" s="185">
        <f t="shared" si="97"/>
        <v>26.022600000000001</v>
      </c>
      <c r="D3085" s="409" t="s">
        <v>3226</v>
      </c>
      <c r="E3085" s="409" t="s">
        <v>5465</v>
      </c>
      <c r="F3085" s="409" t="s">
        <v>5466</v>
      </c>
      <c r="G3085" s="409" t="s">
        <v>5467</v>
      </c>
      <c r="H3085" s="465">
        <v>723.74797999999998</v>
      </c>
      <c r="I3085" s="465">
        <v>26.022600000000001</v>
      </c>
      <c r="J3085" s="465">
        <v>99.296999999999997</v>
      </c>
      <c r="K3085" s="465">
        <v>10371.649520000001</v>
      </c>
      <c r="L3085" s="464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záslepka profilu (4 ks) strieborná</v>
      </c>
      <c r="C3086" s="185">
        <f t="shared" si="97"/>
        <v>6.9740599999999997</v>
      </c>
      <c r="D3086" s="409" t="s">
        <v>3227</v>
      </c>
      <c r="E3086" s="409" t="s">
        <v>3937</v>
      </c>
      <c r="F3086" s="409" t="s">
        <v>3938</v>
      </c>
      <c r="G3086" s="409" t="s">
        <v>3939</v>
      </c>
      <c r="H3086" s="465">
        <v>205.82560000000001</v>
      </c>
      <c r="I3086" s="465">
        <v>6.9740599999999997</v>
      </c>
      <c r="J3086" s="465">
        <v>26.683199999999999</v>
      </c>
      <c r="K3086" s="465">
        <v>2858.3762999999999</v>
      </c>
      <c r="L3086" s="464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úchytová lišta 2,7m čierna mat</v>
      </c>
      <c r="C3087" s="185">
        <f t="shared" si="97"/>
        <v>24.560120000000001</v>
      </c>
      <c r="D3087" s="409" t="s">
        <v>1322</v>
      </c>
      <c r="E3087" s="409" t="s">
        <v>1773</v>
      </c>
      <c r="F3087" s="409" t="s">
        <v>5782</v>
      </c>
      <c r="G3087" s="409" t="s">
        <v>2352</v>
      </c>
      <c r="H3087" s="465">
        <v>683.21807999999999</v>
      </c>
      <c r="I3087" s="465">
        <v>24.560120000000001</v>
      </c>
      <c r="J3087" s="465">
        <v>102.67319999999999</v>
      </c>
      <c r="K3087" s="465">
        <v>9790.83698</v>
      </c>
      <c r="L3087" s="464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Single horné vedenie 6m strieborná</v>
      </c>
      <c r="C3088" s="185">
        <f t="shared" si="97"/>
        <v>52.773829999999997</v>
      </c>
      <c r="D3088" s="409" t="s">
        <v>3228</v>
      </c>
      <c r="E3088" s="409" t="s">
        <v>5000</v>
      </c>
      <c r="F3088" s="409" t="s">
        <v>5001</v>
      </c>
      <c r="G3088" s="409" t="s">
        <v>5002</v>
      </c>
      <c r="H3088" s="465">
        <v>1467.76091</v>
      </c>
      <c r="I3088" s="465">
        <v>52.773829999999997</v>
      </c>
      <c r="J3088" s="465">
        <v>184.14060000000001</v>
      </c>
      <c r="K3088" s="465">
        <v>21033.705300000001</v>
      </c>
      <c r="L3088" s="464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Hide N spodné vedenie 6m oliva</v>
      </c>
      <c r="C3089" s="185">
        <f t="shared" si="97"/>
        <v>29.821899999999999</v>
      </c>
      <c r="D3089" s="409" t="s">
        <v>3229</v>
      </c>
      <c r="E3089" s="409" t="s">
        <v>4731</v>
      </c>
      <c r="F3089" s="409" t="s">
        <v>4732</v>
      </c>
      <c r="G3089" s="409" t="s">
        <v>4733</v>
      </c>
      <c r="H3089" s="465">
        <v>790.62959000000001</v>
      </c>
      <c r="I3089" s="465">
        <v>29.821899999999999</v>
      </c>
      <c r="J3089" s="465">
        <v>101.74397</v>
      </c>
      <c r="K3089" s="465">
        <v>11549.06285</v>
      </c>
      <c r="L3089" s="464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vedenie INTER S 35kg do stropu 2m</v>
      </c>
      <c r="C3090" s="185">
        <f t="shared" si="97"/>
        <v>10.981540000000001</v>
      </c>
      <c r="D3090" s="409" t="s">
        <v>3230</v>
      </c>
      <c r="E3090" s="409" t="s">
        <v>5673</v>
      </c>
      <c r="F3090" s="409" t="s">
        <v>5674</v>
      </c>
      <c r="G3090" s="409" t="s">
        <v>5675</v>
      </c>
      <c r="H3090" s="465">
        <v>291.13934</v>
      </c>
      <c r="I3090" s="465">
        <v>10.981540000000001</v>
      </c>
      <c r="J3090" s="465">
        <v>37.448180000000001</v>
      </c>
      <c r="K3090" s="465">
        <v>4067.0250000000001</v>
      </c>
      <c r="L3090" s="464" t="s">
        <v>540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str">
        <f t="shared" si="96"/>
        <v>SEVROLL vedenie INTER S 35kg do stropu 3m</v>
      </c>
      <c r="C3091" s="185" t="e">
        <f t="shared" si="97"/>
        <v>#N/A</v>
      </c>
      <c r="D3091" s="409" t="s">
        <v>3231</v>
      </c>
      <c r="E3091" s="409" t="s">
        <v>5655</v>
      </c>
      <c r="F3091" s="409" t="s">
        <v>1079</v>
      </c>
      <c r="G3091" s="409" t="s">
        <v>5656</v>
      </c>
      <c r="H3091" s="465" t="e">
        <v>#N/A</v>
      </c>
      <c r="I3091" s="465" t="e">
        <v>#N/A</v>
      </c>
      <c r="J3091" s="465" t="e">
        <v>#N/A</v>
      </c>
      <c r="K3091" s="465" t="e">
        <v>#N/A</v>
      </c>
      <c r="L3091" s="464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str">
        <f t="shared" si="96"/>
        <v>SEVROLL vedenie INTER S 35kg do stropu 6m</v>
      </c>
      <c r="C3092" s="185" t="e">
        <f t="shared" si="97"/>
        <v>#N/A</v>
      </c>
      <c r="D3092" s="409" t="s">
        <v>3232</v>
      </c>
      <c r="E3092" s="409" t="s">
        <v>5653</v>
      </c>
      <c r="F3092" s="409" t="s">
        <v>1078</v>
      </c>
      <c r="G3092" s="409" t="s">
        <v>5654</v>
      </c>
      <c r="H3092" s="465" t="e">
        <v>#N/A</v>
      </c>
      <c r="I3092" s="465" t="e">
        <v>#N/A</v>
      </c>
      <c r="J3092" s="465" t="e">
        <v>#N/A</v>
      </c>
      <c r="K3092" s="465" t="e">
        <v>#N/A</v>
      </c>
      <c r="L3092" s="464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vedenie INTER B 35kg na stenu 2m</v>
      </c>
      <c r="C3093" s="185">
        <f t="shared" si="97"/>
        <v>10.981540000000001</v>
      </c>
      <c r="D3093" s="409" t="s">
        <v>3233</v>
      </c>
      <c r="E3093" s="409" t="s">
        <v>5679</v>
      </c>
      <c r="F3093" s="409" t="s">
        <v>5680</v>
      </c>
      <c r="G3093" s="409" t="s">
        <v>5681</v>
      </c>
      <c r="H3093" s="465">
        <v>291.13934</v>
      </c>
      <c r="I3093" s="465">
        <v>10.981540000000001</v>
      </c>
      <c r="J3093" s="465">
        <v>37.448180000000001</v>
      </c>
      <c r="K3093" s="465">
        <v>4067.0250000000001</v>
      </c>
      <c r="L3093" s="464" t="s">
        <v>540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str">
        <f t="shared" si="96"/>
        <v>SEVROLL vedenie INTER B 35kg do stropu 3m</v>
      </c>
      <c r="C3094" s="185" t="e">
        <f t="shared" si="97"/>
        <v>#N/A</v>
      </c>
      <c r="D3094" s="409" t="s">
        <v>3234</v>
      </c>
      <c r="E3094" s="409" t="s">
        <v>5659</v>
      </c>
      <c r="F3094" s="409" t="s">
        <v>1081</v>
      </c>
      <c r="G3094" s="409" t="s">
        <v>5660</v>
      </c>
      <c r="H3094" s="465" t="e">
        <v>#N/A</v>
      </c>
      <c r="I3094" s="465" t="e">
        <v>#N/A</v>
      </c>
      <c r="J3094" s="465" t="e">
        <v>#N/A</v>
      </c>
      <c r="K3094" s="465" t="e">
        <v>#N/A</v>
      </c>
      <c r="L3094" s="464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str">
        <f t="shared" si="96"/>
        <v>SEVROLL vedenie INTER B 35kg na stenu 6m</v>
      </c>
      <c r="C3095" s="185" t="e">
        <f t="shared" si="97"/>
        <v>#N/A</v>
      </c>
      <c r="D3095" s="409" t="s">
        <v>3235</v>
      </c>
      <c r="E3095" s="409" t="s">
        <v>5657</v>
      </c>
      <c r="F3095" s="409" t="s">
        <v>1080</v>
      </c>
      <c r="G3095" s="409" t="s">
        <v>5658</v>
      </c>
      <c r="H3095" s="465" t="e">
        <v>#N/A</v>
      </c>
      <c r="I3095" s="465" t="e">
        <v>#N/A</v>
      </c>
      <c r="J3095" s="465" t="e">
        <v>#N/A</v>
      </c>
      <c r="K3095" s="465" t="e">
        <v>#N/A</v>
      </c>
      <c r="L3095" s="464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vedenie Galaxy S 50kg do stropu 2m</v>
      </c>
      <c r="C3096" s="185">
        <f t="shared" si="97"/>
        <v>12.464829999999999</v>
      </c>
      <c r="D3096" s="409" t="s">
        <v>3236</v>
      </c>
      <c r="E3096" s="409" t="s">
        <v>5691</v>
      </c>
      <c r="F3096" s="409" t="s">
        <v>5692</v>
      </c>
      <c r="G3096" s="409" t="s">
        <v>5693</v>
      </c>
      <c r="H3096" s="465">
        <v>330.46384999999998</v>
      </c>
      <c r="I3096" s="465">
        <v>12.464829999999999</v>
      </c>
      <c r="J3096" s="465">
        <v>42.508749999999999</v>
      </c>
      <c r="K3096" s="465">
        <v>4827.22606</v>
      </c>
      <c r="L3096" s="464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vedenie Galaxy S 50kg do stropu 3m</v>
      </c>
      <c r="C3097" s="185">
        <f t="shared" si="97"/>
        <v>18.658200000000001</v>
      </c>
      <c r="D3097" s="409" t="s">
        <v>3237</v>
      </c>
      <c r="E3097" s="409" t="s">
        <v>5688</v>
      </c>
      <c r="F3097" s="409" t="s">
        <v>5689</v>
      </c>
      <c r="G3097" s="409" t="s">
        <v>5690</v>
      </c>
      <c r="H3097" s="465">
        <v>494.66093000000001</v>
      </c>
      <c r="I3097" s="465">
        <v>18.658200000000001</v>
      </c>
      <c r="J3097" s="465">
        <v>63.678759999999997</v>
      </c>
      <c r="K3097" s="465">
        <v>7225.7225799999997</v>
      </c>
      <c r="L3097" s="464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vedenie Galaxy S 50kg do stropu 6m</v>
      </c>
      <c r="C3098" s="185">
        <f t="shared" si="97"/>
        <v>37.34243</v>
      </c>
      <c r="D3098" s="409" t="s">
        <v>3238</v>
      </c>
      <c r="E3098" s="409" t="s">
        <v>5685</v>
      </c>
      <c r="F3098" s="409" t="s">
        <v>5686</v>
      </c>
      <c r="G3098" s="409" t="s">
        <v>5687</v>
      </c>
      <c r="H3098" s="465">
        <v>990.01175000000001</v>
      </c>
      <c r="I3098" s="465">
        <v>37.34243</v>
      </c>
      <c r="J3098" s="465">
        <v>127.44186000000001</v>
      </c>
      <c r="K3098" s="465">
        <v>14461.522849999999</v>
      </c>
      <c r="L3098" s="464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vedenie Galaxy B 50kg na stenu 2m</v>
      </c>
      <c r="C3099" s="185">
        <f t="shared" si="97"/>
        <v>13.089370000000001</v>
      </c>
      <c r="D3099" s="409" t="s">
        <v>3239</v>
      </c>
      <c r="E3099" s="409" t="s">
        <v>5700</v>
      </c>
      <c r="F3099" s="409" t="s">
        <v>5701</v>
      </c>
      <c r="G3099" s="409" t="s">
        <v>5702</v>
      </c>
      <c r="H3099" s="465">
        <v>347.02152999999998</v>
      </c>
      <c r="I3099" s="465">
        <v>13.089370000000001</v>
      </c>
      <c r="J3099" s="465">
        <v>44.6173</v>
      </c>
      <c r="K3099" s="465">
        <v>5069.0910999999996</v>
      </c>
      <c r="L3099" s="464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vedenie Galaxy B 50kg na stenu 3m</v>
      </c>
      <c r="C3100" s="185">
        <f t="shared" si="97"/>
        <v>19.621040000000001</v>
      </c>
      <c r="D3100" s="409" t="s">
        <v>3240</v>
      </c>
      <c r="E3100" s="409" t="s">
        <v>5697</v>
      </c>
      <c r="F3100" s="409" t="s">
        <v>5698</v>
      </c>
      <c r="G3100" s="409" t="s">
        <v>5699</v>
      </c>
      <c r="H3100" s="465">
        <v>520.18733999999995</v>
      </c>
      <c r="I3100" s="465">
        <v>19.621040000000001</v>
      </c>
      <c r="J3100" s="465">
        <v>66.968130000000002</v>
      </c>
      <c r="K3100" s="465">
        <v>7598.5978100000002</v>
      </c>
      <c r="L3100" s="464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vedenie Galaxy B 50kg na stenu 6m</v>
      </c>
      <c r="C3101" s="185">
        <f t="shared" si="97"/>
        <v>39.268099999999997</v>
      </c>
      <c r="D3101" s="409" t="s">
        <v>3241</v>
      </c>
      <c r="E3101" s="409" t="s">
        <v>5694</v>
      </c>
      <c r="F3101" s="409" t="s">
        <v>5695</v>
      </c>
      <c r="G3101" s="409" t="s">
        <v>5696</v>
      </c>
      <c r="H3101" s="465">
        <v>1041.0646099999999</v>
      </c>
      <c r="I3101" s="465">
        <v>39.268099999999997</v>
      </c>
      <c r="J3101" s="465">
        <v>133.93624</v>
      </c>
      <c r="K3101" s="465">
        <v>15207.27367</v>
      </c>
      <c r="L3101" s="464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krycí profil Galaxy 2m</v>
      </c>
      <c r="C3102" s="185">
        <f t="shared" si="97"/>
        <v>11.58006</v>
      </c>
      <c r="D3102" s="409" t="s">
        <v>3242</v>
      </c>
      <c r="E3102" s="409" t="s">
        <v>4080</v>
      </c>
      <c r="F3102" s="409" t="s">
        <v>1233</v>
      </c>
      <c r="G3102" s="409" t="s">
        <v>4081</v>
      </c>
      <c r="H3102" s="465">
        <v>307.00713999999999</v>
      </c>
      <c r="I3102" s="465">
        <v>11.58006</v>
      </c>
      <c r="J3102" s="465">
        <v>39.507919999999999</v>
      </c>
      <c r="K3102" s="465">
        <v>4484.5838599999997</v>
      </c>
      <c r="L3102" s="464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krycí profil Galaxy 3m</v>
      </c>
      <c r="C3103" s="185">
        <f t="shared" si="97"/>
        <v>17.35707</v>
      </c>
      <c r="D3103" s="409" t="s">
        <v>3243</v>
      </c>
      <c r="E3103" s="409" t="s">
        <v>4346</v>
      </c>
      <c r="F3103" s="409" t="s">
        <v>1232</v>
      </c>
      <c r="G3103" s="409" t="s">
        <v>4347</v>
      </c>
      <c r="H3103" s="465">
        <v>460.16574000000003</v>
      </c>
      <c r="I3103" s="465">
        <v>17.35707</v>
      </c>
      <c r="J3103" s="465">
        <v>59.217480000000002</v>
      </c>
      <c r="K3103" s="465">
        <v>6721.8367699999999</v>
      </c>
      <c r="L3103" s="464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krycí profil Galaxy 6m</v>
      </c>
      <c r="C3104" s="185">
        <f t="shared" si="97"/>
        <v>34.818240000000003</v>
      </c>
      <c r="D3104" s="409" t="s">
        <v>3244</v>
      </c>
      <c r="E3104" s="409" t="s">
        <v>4753</v>
      </c>
      <c r="F3104" s="409" t="s">
        <v>1142</v>
      </c>
      <c r="G3104" s="409" t="s">
        <v>4754</v>
      </c>
      <c r="H3104" s="465">
        <v>923.09109000000001</v>
      </c>
      <c r="I3104" s="465">
        <v>34.818240000000003</v>
      </c>
      <c r="J3104" s="465">
        <v>118.79007</v>
      </c>
      <c r="K3104" s="465">
        <v>13483.98425</v>
      </c>
      <c r="L3104" s="464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výztuha 3m strieborná</v>
      </c>
      <c r="C3105" s="185">
        <f t="shared" si="97"/>
        <v>28.963149999999999</v>
      </c>
      <c r="D3105" s="409" t="s">
        <v>3245</v>
      </c>
      <c r="E3105" s="409" t="s">
        <v>4794</v>
      </c>
      <c r="F3105" s="409" t="s">
        <v>4795</v>
      </c>
      <c r="G3105" s="409" t="s">
        <v>4796</v>
      </c>
      <c r="H3105" s="465">
        <v>805.53148999999996</v>
      </c>
      <c r="I3105" s="465">
        <v>28.963149999999999</v>
      </c>
      <c r="J3105" s="465">
        <v>101.1024</v>
      </c>
      <c r="K3105" s="465">
        <v>11543.6458</v>
      </c>
      <c r="L3105" s="464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tlmič Central 10/18mm obojstranný 25-40kg</v>
      </c>
      <c r="C3106" s="185">
        <f t="shared" si="97"/>
        <v>49.156689999999998</v>
      </c>
      <c r="D3106" s="409" t="s">
        <v>3246</v>
      </c>
      <c r="E3106" s="409" t="s">
        <v>4966</v>
      </c>
      <c r="F3106" s="409" t="s">
        <v>4967</v>
      </c>
      <c r="G3106" s="409" t="s">
        <v>4968</v>
      </c>
      <c r="H3106" s="465">
        <v>1450.76324</v>
      </c>
      <c r="I3106" s="465">
        <v>49.156689999999998</v>
      </c>
      <c r="J3106" s="465">
        <v>206.958</v>
      </c>
      <c r="K3106" s="465">
        <v>20147.28615</v>
      </c>
      <c r="L3106" s="464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tlmič dorazu Mini SV40 (25 - 40kg)</v>
      </c>
      <c r="C3107" s="185">
        <f t="shared" si="97"/>
        <v>22.951930000000001</v>
      </c>
      <c r="D3107" s="409" t="s">
        <v>4594</v>
      </c>
      <c r="E3107" s="409" t="s">
        <v>4595</v>
      </c>
      <c r="F3107" s="409" t="s">
        <v>4596</v>
      </c>
      <c r="G3107" s="409" t="s">
        <v>4597</v>
      </c>
      <c r="H3107" s="465">
        <v>677.38124000000005</v>
      </c>
      <c r="I3107" s="465">
        <v>22.951930000000001</v>
      </c>
      <c r="J3107" s="465">
        <v>96.889799999999994</v>
      </c>
      <c r="K3107" s="465">
        <v>9407.0440500000004</v>
      </c>
      <c r="L3107" s="464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úchytová lišta 2,7m biela lesk</v>
      </c>
      <c r="C3108" s="185">
        <f t="shared" si="97"/>
        <v>26.90737</v>
      </c>
      <c r="D3108" s="409" t="s">
        <v>3247</v>
      </c>
      <c r="E3108" s="409" t="s">
        <v>4758</v>
      </c>
      <c r="F3108" s="409" t="s">
        <v>4759</v>
      </c>
      <c r="G3108" s="409" t="s">
        <v>4760</v>
      </c>
      <c r="H3108" s="465">
        <v>748.35540000000003</v>
      </c>
      <c r="I3108" s="465">
        <v>26.90737</v>
      </c>
      <c r="J3108" s="465">
        <v>102.67319999999999</v>
      </c>
      <c r="K3108" s="465">
        <v>10724.285449999999</v>
      </c>
      <c r="L3108" s="464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úchytová lišta 3m biela lesk</v>
      </c>
      <c r="C3109" s="185">
        <f t="shared" si="97"/>
        <v>29.89997</v>
      </c>
      <c r="D3109" s="409" t="s">
        <v>3248</v>
      </c>
      <c r="E3109" s="409" t="s">
        <v>4828</v>
      </c>
      <c r="F3109" s="409" t="s">
        <v>4829</v>
      </c>
      <c r="G3109" s="409" t="s">
        <v>4830</v>
      </c>
      <c r="H3109" s="465">
        <v>831.58642999999995</v>
      </c>
      <c r="I3109" s="465">
        <v>29.89997</v>
      </c>
      <c r="J3109" s="465">
        <v>114.07680000000001</v>
      </c>
      <c r="K3109" s="465">
        <v>11917.02533</v>
      </c>
      <c r="L3109" s="464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horná vodiaca lišta 3m biela lesk</v>
      </c>
      <c r="C3110" s="185">
        <f t="shared" si="97"/>
        <v>29.353490000000001</v>
      </c>
      <c r="D3110" s="409" t="s">
        <v>3249</v>
      </c>
      <c r="E3110" s="409" t="s">
        <v>4815</v>
      </c>
      <c r="F3110" s="409" t="s">
        <v>4816</v>
      </c>
      <c r="G3110" s="409" t="s">
        <v>4817</v>
      </c>
      <c r="H3110" s="465">
        <v>816.38773000000003</v>
      </c>
      <c r="I3110" s="465">
        <v>29.353490000000001</v>
      </c>
      <c r="J3110" s="465">
        <v>112.2</v>
      </c>
      <c r="K3110" s="465">
        <v>11699.220729999999</v>
      </c>
      <c r="L3110" s="464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04099Gemini 4 Pax spodná krycia lišta 3m 4mm biela lesk</v>
      </c>
      <c r="C3111" s="185">
        <f t="shared" si="97"/>
        <v>33.82938</v>
      </c>
      <c r="D3111" s="409" t="s">
        <v>3250</v>
      </c>
      <c r="E3111" s="409" t="s">
        <v>4882</v>
      </c>
      <c r="F3111" s="409" t="s">
        <v>4883</v>
      </c>
      <c r="G3111" s="409" t="s">
        <v>4884</v>
      </c>
      <c r="H3111" s="465">
        <v>940.87237000000005</v>
      </c>
      <c r="I3111" s="465">
        <v>33.82938</v>
      </c>
      <c r="J3111" s="465">
        <v>129.11160000000001</v>
      </c>
      <c r="K3111" s="465">
        <v>13483.14436</v>
      </c>
      <c r="L3111" s="464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záslepka profilu (4 ks) biela lesk</v>
      </c>
      <c r="C3112" s="185">
        <f t="shared" si="97"/>
        <v>9.0558599999999991</v>
      </c>
      <c r="D3112" s="409" t="s">
        <v>3251</v>
      </c>
      <c r="E3112" s="409" t="s">
        <v>4060</v>
      </c>
      <c r="F3112" s="409" t="s">
        <v>4061</v>
      </c>
      <c r="G3112" s="409" t="s">
        <v>4062</v>
      </c>
      <c r="H3112" s="465">
        <v>267.26607999999999</v>
      </c>
      <c r="I3112" s="465">
        <v>9.0558599999999991</v>
      </c>
      <c r="J3112" s="465">
        <v>34.68</v>
      </c>
      <c r="K3112" s="465">
        <v>3711.62293</v>
      </c>
      <c r="L3112" s="464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str">
        <f t="shared" si="96"/>
        <v>SEVROLL Rex úchytová lišta 2,7m strieborná</v>
      </c>
      <c r="C3113" s="185" t="e">
        <f t="shared" si="97"/>
        <v>#N/A</v>
      </c>
      <c r="D3113" s="409" t="s">
        <v>3252</v>
      </c>
      <c r="E3113" s="409" t="s">
        <v>4667</v>
      </c>
      <c r="F3113" s="409" t="s">
        <v>1212</v>
      </c>
      <c r="G3113" s="409" t="s">
        <v>4668</v>
      </c>
      <c r="H3113" s="465" t="e">
        <v>#N/A</v>
      </c>
      <c r="I3113" s="465" t="e">
        <v>#N/A</v>
      </c>
      <c r="J3113" s="465" t="e">
        <v>#N/A</v>
      </c>
      <c r="K3113" s="465" t="e">
        <v>#N/A</v>
      </c>
      <c r="L3113" s="464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horný vozík 18mm asymetrický - 2ks</v>
      </c>
      <c r="C3114" s="185">
        <f t="shared" si="97"/>
        <v>7.1822600000000003</v>
      </c>
      <c r="D3114" s="409" t="s">
        <v>3253</v>
      </c>
      <c r="E3114" s="409" t="s">
        <v>3921</v>
      </c>
      <c r="F3114" s="409" t="s">
        <v>3922</v>
      </c>
      <c r="G3114" s="409" t="s">
        <v>3923</v>
      </c>
      <c r="H3114" s="465">
        <v>199.57113000000001</v>
      </c>
      <c r="I3114" s="465">
        <v>7.1822600000000003</v>
      </c>
      <c r="J3114" s="465">
        <v>24.2668</v>
      </c>
      <c r="K3114" s="465">
        <v>2774.16185</v>
      </c>
      <c r="L3114" s="464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str">
        <f t="shared" si="96"/>
        <v>SEVROLL 50460 vedenie INTER S 35kg do stropu 1,5m</v>
      </c>
      <c r="C3115" s="185" t="e">
        <f t="shared" si="97"/>
        <v>#N/A</v>
      </c>
      <c r="D3115" s="409" t="s">
        <v>3254</v>
      </c>
      <c r="E3115" s="409" t="s">
        <v>5676</v>
      </c>
      <c r="F3115" s="409" t="s">
        <v>5677</v>
      </c>
      <c r="G3115" s="409" t="s">
        <v>5678</v>
      </c>
      <c r="H3115" s="465" t="e">
        <v>#N/A</v>
      </c>
      <c r="I3115" s="465" t="e">
        <v>#N/A</v>
      </c>
      <c r="J3115" s="465" t="e">
        <v>#N/A</v>
      </c>
      <c r="K3115" s="465" t="e">
        <v>#N/A</v>
      </c>
      <c r="L3115" s="464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vedenie INTER B 35kg na stenu 1,5m</v>
      </c>
      <c r="C3116" s="185">
        <f t="shared" si="97"/>
        <v>8.19712</v>
      </c>
      <c r="D3116" s="409" t="s">
        <v>3255</v>
      </c>
      <c r="E3116" s="409" t="s">
        <v>5682</v>
      </c>
      <c r="F3116" s="409" t="s">
        <v>5683</v>
      </c>
      <c r="G3116" s="409" t="s">
        <v>5684</v>
      </c>
      <c r="H3116" s="465">
        <v>217.31966</v>
      </c>
      <c r="I3116" s="465">
        <v>8.19712</v>
      </c>
      <c r="J3116" s="465">
        <v>28.00179</v>
      </c>
      <c r="K3116" s="465">
        <v>3035.8125100000002</v>
      </c>
      <c r="L3116" s="464" t="s">
        <v>540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str">
        <f t="shared" si="96"/>
        <v>SEVROLL Rex úchytová lišta 2,7m oliva</v>
      </c>
      <c r="C3117" s="185" t="e">
        <f t="shared" si="97"/>
        <v>#N/A</v>
      </c>
      <c r="D3117" s="409" t="s">
        <v>3256</v>
      </c>
      <c r="E3117" s="409" t="s">
        <v>4721</v>
      </c>
      <c r="F3117" s="409" t="s">
        <v>1105</v>
      </c>
      <c r="G3117" s="409" t="s">
        <v>4722</v>
      </c>
      <c r="H3117" s="465" t="e">
        <v>#N/A</v>
      </c>
      <c r="I3117" s="465" t="e">
        <v>#N/A</v>
      </c>
      <c r="J3117" s="465" t="e">
        <v>#N/A</v>
      </c>
      <c r="K3117" s="465" t="e">
        <v>#N/A</v>
      </c>
      <c r="L3117" s="464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Focus II 16mm úchytová lišta 2,7m zlatá</v>
      </c>
      <c r="C3118" s="185">
        <f t="shared" si="97"/>
        <v>10.61722</v>
      </c>
      <c r="D3118" s="409" t="s">
        <v>3257</v>
      </c>
      <c r="E3118" s="409" t="s">
        <v>5237</v>
      </c>
      <c r="F3118" s="409" t="s">
        <v>1167</v>
      </c>
      <c r="G3118" s="409" t="s">
        <v>5238</v>
      </c>
      <c r="H3118" s="465">
        <v>295.28917999999999</v>
      </c>
      <c r="I3118" s="465">
        <v>10.61722</v>
      </c>
      <c r="J3118" s="465">
        <v>36.509929999999997</v>
      </c>
      <c r="K3118" s="465">
        <v>4231.6330699999999</v>
      </c>
      <c r="L3118" s="464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úchytová lišta 2,7m zlatá</v>
      </c>
      <c r="C3119" s="185">
        <f t="shared" si="97"/>
        <v>10.61722</v>
      </c>
      <c r="D3119" s="409" t="s">
        <v>3258</v>
      </c>
      <c r="E3119" s="409" t="s">
        <v>3904</v>
      </c>
      <c r="F3119" s="409" t="s">
        <v>3258</v>
      </c>
      <c r="G3119" s="409" t="s">
        <v>3905</v>
      </c>
      <c r="H3119" s="465">
        <v>295.28917999999999</v>
      </c>
      <c r="I3119" s="465">
        <v>10.61722</v>
      </c>
      <c r="J3119" s="465">
        <v>36.509929999999997</v>
      </c>
      <c r="K3119" s="465">
        <v>4231.6330699999999</v>
      </c>
      <c r="L3119" s="464" t="s">
        <v>538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Uno úchytová lišta 18mm 2,70m stieborná</v>
      </c>
      <c r="C3120" s="185">
        <f t="shared" si="97"/>
        <v>11.91835</v>
      </c>
      <c r="D3120" s="409" t="s">
        <v>3259</v>
      </c>
      <c r="E3120" s="409" t="s">
        <v>4109</v>
      </c>
      <c r="F3120" s="409" t="s">
        <v>4110</v>
      </c>
      <c r="G3120" s="409" t="s">
        <v>4111</v>
      </c>
      <c r="H3120" s="465">
        <v>327.89949999999999</v>
      </c>
      <c r="I3120" s="465">
        <v>11.91835</v>
      </c>
      <c r="J3120" s="465">
        <v>40.982089999999999</v>
      </c>
      <c r="K3120" s="465">
        <v>4846.3737600000004</v>
      </c>
      <c r="L3120" s="464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Uno úchytová lišta 18mm 2,70m oliva</v>
      </c>
      <c r="C3121" s="185">
        <f t="shared" si="97"/>
        <v>14.46857</v>
      </c>
      <c r="D3121" s="409" t="s">
        <v>3260</v>
      </c>
      <c r="E3121" s="409" t="s">
        <v>4205</v>
      </c>
      <c r="F3121" s="409" t="s">
        <v>1088</v>
      </c>
      <c r="G3121" s="409" t="s">
        <v>4206</v>
      </c>
      <c r="H3121" s="465">
        <v>398.06139999999999</v>
      </c>
      <c r="I3121" s="465">
        <v>14.46857</v>
      </c>
      <c r="J3121" s="465">
        <v>48.53633</v>
      </c>
      <c r="K3121" s="465">
        <v>5883.3708399999996</v>
      </c>
      <c r="L3121" s="464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horný vozík Simple(18mm)symetr.(L+P)</v>
      </c>
      <c r="C3122" s="185">
        <f t="shared" si="97"/>
        <v>2.16614</v>
      </c>
      <c r="D3122" s="409" t="s">
        <v>3261</v>
      </c>
      <c r="E3122" s="409" t="s">
        <v>6200</v>
      </c>
      <c r="F3122" s="409" t="s">
        <v>1237</v>
      </c>
      <c r="G3122" s="409" t="s">
        <v>6201</v>
      </c>
      <c r="H3122" s="465">
        <v>60.943179999999998</v>
      </c>
      <c r="I3122" s="465">
        <v>2.16614</v>
      </c>
      <c r="J3122" s="465">
        <v>7.5828699999999998</v>
      </c>
      <c r="K3122" s="465">
        <v>626.67796999999996</v>
      </c>
      <c r="L3122" s="464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str">
        <f t="shared" si="96"/>
        <v>SEVROLL Maxim vodiaca lišta 2,5m oliva</v>
      </c>
      <c r="C3123" s="185" t="e">
        <f t="shared" si="97"/>
        <v>#N/A</v>
      </c>
      <c r="D3123" s="409" t="s">
        <v>3262</v>
      </c>
      <c r="E3123" s="409" t="s">
        <v>4655</v>
      </c>
      <c r="F3123" s="409" t="s">
        <v>4656</v>
      </c>
      <c r="G3123" s="409" t="s">
        <v>4657</v>
      </c>
      <c r="H3123" s="465" t="e">
        <v>#N/A</v>
      </c>
      <c r="I3123" s="465" t="e">
        <v>#N/A</v>
      </c>
      <c r="J3123" s="465" t="e">
        <v>#N/A</v>
      </c>
      <c r="K3123" s="465" t="e">
        <v>#N/A</v>
      </c>
      <c r="L3123" s="464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str">
        <f t="shared" si="96"/>
        <v>SEVROLL Maxim spodná krycí lišta 2,5m 18mm oliva</v>
      </c>
      <c r="C3124" s="185" t="e">
        <f t="shared" si="97"/>
        <v>#N/A</v>
      </c>
      <c r="D3124" s="409" t="s">
        <v>3263</v>
      </c>
      <c r="E3124" s="409" t="s">
        <v>4859</v>
      </c>
      <c r="F3124" s="409" t="s">
        <v>4860</v>
      </c>
      <c r="G3124" s="409" t="s">
        <v>4861</v>
      </c>
      <c r="H3124" s="465" t="e">
        <v>#N/A</v>
      </c>
      <c r="I3124" s="465" t="e">
        <v>#N/A</v>
      </c>
      <c r="J3124" s="465" t="e">
        <v>#N/A</v>
      </c>
      <c r="K3124" s="465" t="e">
        <v>#N/A</v>
      </c>
      <c r="L3124" s="464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str">
        <f t="shared" si="96"/>
        <v>SEVROLL Maxim vodiaca lišta 3,5m oliva</v>
      </c>
      <c r="C3125" s="185" t="e">
        <f t="shared" si="97"/>
        <v>#N/A</v>
      </c>
      <c r="D3125" s="409" t="s">
        <v>3264</v>
      </c>
      <c r="E3125" s="409" t="s">
        <v>4862</v>
      </c>
      <c r="F3125" s="409" t="s">
        <v>4863</v>
      </c>
      <c r="G3125" s="409" t="s">
        <v>4864</v>
      </c>
      <c r="H3125" s="465" t="e">
        <v>#N/A</v>
      </c>
      <c r="I3125" s="465" t="e">
        <v>#N/A</v>
      </c>
      <c r="J3125" s="465" t="e">
        <v>#N/A</v>
      </c>
      <c r="K3125" s="465" t="e">
        <v>#N/A</v>
      </c>
      <c r="L3125" s="464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str">
        <f t="shared" si="96"/>
        <v>SEVROLL Maxim spodná krycia lišta 3,5m 18mm oliva</v>
      </c>
      <c r="C3126" s="185" t="e">
        <f t="shared" si="97"/>
        <v>#N/A</v>
      </c>
      <c r="D3126" s="409" t="s">
        <v>3265</v>
      </c>
      <c r="E3126" s="409" t="s">
        <v>4984</v>
      </c>
      <c r="F3126" s="409" t="s">
        <v>4985</v>
      </c>
      <c r="G3126" s="409" t="s">
        <v>4986</v>
      </c>
      <c r="H3126" s="465" t="e">
        <v>#N/A</v>
      </c>
      <c r="I3126" s="465" t="e">
        <v>#N/A</v>
      </c>
      <c r="J3126" s="465" t="e">
        <v>#N/A</v>
      </c>
      <c r="K3126" s="465" t="e">
        <v>#N/A</v>
      </c>
      <c r="L3126" s="464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str">
        <f t="shared" si="96"/>
        <v>SEVROLL Maxim horné vedenie 2,5m oliva</v>
      </c>
      <c r="C3127" s="185" t="e">
        <f t="shared" si="97"/>
        <v>#N/A</v>
      </c>
      <c r="D3127" s="409" t="s">
        <v>3266</v>
      </c>
      <c r="E3127" s="409" t="s">
        <v>4840</v>
      </c>
      <c r="F3127" s="409" t="s">
        <v>1133</v>
      </c>
      <c r="G3127" s="409" t="s">
        <v>4841</v>
      </c>
      <c r="H3127" s="465" t="e">
        <v>#N/A</v>
      </c>
      <c r="I3127" s="465" t="e">
        <v>#N/A</v>
      </c>
      <c r="J3127" s="465" t="e">
        <v>#N/A</v>
      </c>
      <c r="K3127" s="465" t="e">
        <v>#N/A</v>
      </c>
      <c r="L3127" s="464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str">
        <f t="shared" si="96"/>
        <v>SEVROLL Maxim horné vedenie 3,5m oliva</v>
      </c>
      <c r="C3128" s="185" t="e">
        <f t="shared" si="97"/>
        <v>#N/A</v>
      </c>
      <c r="D3128" s="409" t="s">
        <v>3267</v>
      </c>
      <c r="E3128" s="409" t="s">
        <v>4969</v>
      </c>
      <c r="F3128" s="409" t="s">
        <v>1132</v>
      </c>
      <c r="G3128" s="409" t="s">
        <v>4970</v>
      </c>
      <c r="H3128" s="465" t="e">
        <v>#N/A</v>
      </c>
      <c r="I3128" s="465" t="e">
        <v>#N/A</v>
      </c>
      <c r="J3128" s="465" t="e">
        <v>#N/A</v>
      </c>
      <c r="K3128" s="465" t="e">
        <v>#N/A</v>
      </c>
      <c r="L3128" s="464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str">
        <f t="shared" si="96"/>
        <v>SEVROLL Maxim II spodné vedenie 2,5m oliva</v>
      </c>
      <c r="C3129" s="185" t="e">
        <f t="shared" si="97"/>
        <v>#N/A</v>
      </c>
      <c r="D3129" s="409" t="s">
        <v>3268</v>
      </c>
      <c r="E3129" s="409" t="s">
        <v>4472</v>
      </c>
      <c r="F3129" s="409" t="s">
        <v>1129</v>
      </c>
      <c r="G3129" s="409" t="s">
        <v>4473</v>
      </c>
      <c r="H3129" s="465" t="e">
        <v>#N/A</v>
      </c>
      <c r="I3129" s="465" t="e">
        <v>#N/A</v>
      </c>
      <c r="J3129" s="465" t="e">
        <v>#N/A</v>
      </c>
      <c r="K3129" s="465" t="e">
        <v>#N/A</v>
      </c>
      <c r="L3129" s="464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str">
        <f t="shared" si="96"/>
        <v>SEVROLL Maxim II spodné vedenie 3,5m oliva</v>
      </c>
      <c r="C3130" s="185" t="e">
        <f t="shared" si="97"/>
        <v>#N/A</v>
      </c>
      <c r="D3130" s="409" t="s">
        <v>3269</v>
      </c>
      <c r="E3130" s="409" t="s">
        <v>4723</v>
      </c>
      <c r="F3130" s="409" t="s">
        <v>1128</v>
      </c>
      <c r="G3130" s="409" t="s">
        <v>4724</v>
      </c>
      <c r="H3130" s="465" t="e">
        <v>#N/A</v>
      </c>
      <c r="I3130" s="465" t="e">
        <v>#N/A</v>
      </c>
      <c r="J3130" s="465" t="e">
        <v>#N/A</v>
      </c>
      <c r="K3130" s="465" t="e">
        <v>#N/A</v>
      </c>
      <c r="L3130" s="464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str">
        <f t="shared" si="96"/>
        <v>SEVROLL 02997 Maxim II maska 2,5m oliva</v>
      </c>
      <c r="C3131" s="185" t="e">
        <f t="shared" si="97"/>
        <v>#N/A</v>
      </c>
      <c r="D3131" s="409" t="s">
        <v>3270</v>
      </c>
      <c r="E3131" s="409" t="s">
        <v>3946</v>
      </c>
      <c r="F3131" s="409" t="s">
        <v>3270</v>
      </c>
      <c r="G3131" s="409" t="s">
        <v>3947</v>
      </c>
      <c r="H3131" s="465" t="e">
        <v>#N/A</v>
      </c>
      <c r="I3131" s="465" t="e">
        <v>#N/A</v>
      </c>
      <c r="J3131" s="465" t="e">
        <v>#N/A</v>
      </c>
      <c r="K3131" s="465" t="e">
        <v>#N/A</v>
      </c>
      <c r="L3131" s="464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str">
        <f t="shared" si="96"/>
        <v>SEVROLL 02998 Maxim II maska 3,5m oliva</v>
      </c>
      <c r="C3132" s="185" t="e">
        <f t="shared" si="97"/>
        <v>#N/A</v>
      </c>
      <c r="D3132" s="409" t="s">
        <v>3271</v>
      </c>
      <c r="E3132" s="409" t="s">
        <v>4191</v>
      </c>
      <c r="F3132" s="409" t="s">
        <v>3271</v>
      </c>
      <c r="G3132" s="409" t="s">
        <v>4192</v>
      </c>
      <c r="H3132" s="465" t="e">
        <v>#N/A</v>
      </c>
      <c r="I3132" s="465" t="e">
        <v>#N/A</v>
      </c>
      <c r="J3132" s="465" t="e">
        <v>#N/A</v>
      </c>
      <c r="K3132" s="465" t="e">
        <v>#N/A</v>
      </c>
      <c r="L3132" s="464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nalepovacia úchytka biela lesk</v>
      </c>
      <c r="C3133" s="185">
        <f t="shared" si="97"/>
        <v>8.0149600000000003</v>
      </c>
      <c r="D3133" s="409" t="s">
        <v>3272</v>
      </c>
      <c r="E3133" s="409" t="s">
        <v>4082</v>
      </c>
      <c r="F3133" s="409" t="s">
        <v>4083</v>
      </c>
      <c r="G3133" s="409" t="s">
        <v>4084</v>
      </c>
      <c r="H3133" s="465">
        <v>222.91437999999999</v>
      </c>
      <c r="I3133" s="465">
        <v>8.0149600000000003</v>
      </c>
      <c r="J3133" s="465">
        <v>31.518000000000001</v>
      </c>
      <c r="K3133" s="465">
        <v>3194.4681399999999</v>
      </c>
      <c r="L3133" s="464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nalepovacia úchytka strieborná</v>
      </c>
      <c r="C3134" s="185">
        <f t="shared" si="97"/>
        <v>6.1673600000000004</v>
      </c>
      <c r="D3134" s="409" t="s">
        <v>3273</v>
      </c>
      <c r="E3134" s="409" t="s">
        <v>3940</v>
      </c>
      <c r="F3134" s="409" t="s">
        <v>3941</v>
      </c>
      <c r="G3134" s="409" t="s">
        <v>3942</v>
      </c>
      <c r="H3134" s="465">
        <v>171.52828</v>
      </c>
      <c r="I3134" s="465">
        <v>6.1673600000000004</v>
      </c>
      <c r="J3134" s="465">
        <v>24.255600000000001</v>
      </c>
      <c r="K3134" s="465">
        <v>2458.08106</v>
      </c>
      <c r="L3134" s="464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úchytová lišta 18mm 2,7m čierna mat</v>
      </c>
      <c r="C3135" s="185">
        <f t="shared" si="97"/>
        <v>16.44107</v>
      </c>
      <c r="D3135" s="409" t="s">
        <v>1543</v>
      </c>
      <c r="E3135" s="409" t="s">
        <v>1971</v>
      </c>
      <c r="F3135" s="409" t="s">
        <v>6054</v>
      </c>
      <c r="G3135" s="409" t="s">
        <v>2480</v>
      </c>
      <c r="H3135" s="465">
        <v>457.40872000000002</v>
      </c>
      <c r="I3135" s="465">
        <v>16.44107</v>
      </c>
      <c r="J3135" s="465">
        <v>66.463200000000001</v>
      </c>
      <c r="K3135" s="465">
        <v>6554.8824199999999</v>
      </c>
      <c r="L3135" s="464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Linea šatná tyč oválná 3m strieborná</v>
      </c>
      <c r="C3136" s="185">
        <f t="shared" si="97"/>
        <v>14.59868</v>
      </c>
      <c r="D3136" s="409" t="s">
        <v>1544</v>
      </c>
      <c r="E3136" s="409" t="s">
        <v>1972</v>
      </c>
      <c r="F3136" s="409" t="s">
        <v>2183</v>
      </c>
      <c r="G3136" s="409" t="s">
        <v>2481</v>
      </c>
      <c r="H3136" s="465">
        <v>406.02260999999999</v>
      </c>
      <c r="I3136" s="465">
        <v>14.59868</v>
      </c>
      <c r="J3136" s="465">
        <v>50.887799999999999</v>
      </c>
      <c r="K3136" s="465">
        <v>5818.4953400000004</v>
      </c>
      <c r="L3136" s="464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Linea spojovací element rohový</v>
      </c>
      <c r="C3137" s="185">
        <f t="shared" si="97"/>
        <v>1.3011299999999999</v>
      </c>
      <c r="D3137" s="409" t="s">
        <v>3274</v>
      </c>
      <c r="E3137" s="409" t="s">
        <v>1973</v>
      </c>
      <c r="F3137" s="409" t="s">
        <v>1545</v>
      </c>
      <c r="G3137" s="409" t="s">
        <v>2482</v>
      </c>
      <c r="H3137" s="465">
        <v>36.187399999999997</v>
      </c>
      <c r="I3137" s="465">
        <v>1.3011299999999999</v>
      </c>
      <c r="J3137" s="465">
        <v>4.5084</v>
      </c>
      <c r="K3137" s="465">
        <v>518.58248000000003</v>
      </c>
      <c r="L3137" s="464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Linea upevňovací element stenový</v>
      </c>
      <c r="C3138" s="185">
        <f t="shared" si="97"/>
        <v>1.11897</v>
      </c>
      <c r="D3138" s="409" t="s">
        <v>1546</v>
      </c>
      <c r="E3138" s="409" t="s">
        <v>1974</v>
      </c>
      <c r="F3138" s="409" t="s">
        <v>2184</v>
      </c>
      <c r="G3138" s="409" t="s">
        <v>2483</v>
      </c>
      <c r="H3138" s="465">
        <v>31.12115</v>
      </c>
      <c r="I3138" s="465">
        <v>1.11897</v>
      </c>
      <c r="J3138" s="465">
        <v>3.9066000000000001</v>
      </c>
      <c r="K3138" s="465">
        <v>445.98079999999999</v>
      </c>
      <c r="L3138" s="464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Linea nožka s regulaciou</v>
      </c>
      <c r="C3139" s="185">
        <f t="shared" si="97"/>
        <v>2.8624900000000002</v>
      </c>
      <c r="D3139" s="409" t="s">
        <v>1547</v>
      </c>
      <c r="E3139" s="409" t="s">
        <v>1975</v>
      </c>
      <c r="F3139" s="409" t="s">
        <v>2185</v>
      </c>
      <c r="G3139" s="409" t="s">
        <v>2484</v>
      </c>
      <c r="H3139" s="465">
        <v>79.612279999999998</v>
      </c>
      <c r="I3139" s="465">
        <v>2.8624900000000002</v>
      </c>
      <c r="J3139" s="465">
        <v>9.9857999999999993</v>
      </c>
      <c r="K3139" s="465">
        <v>1140.8814400000001</v>
      </c>
      <c r="L3139" s="464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Linea šatná tyč guľatá 3m strieborná</v>
      </c>
      <c r="C3140" s="185">
        <f t="shared" ref="C3140:C3203" si="99">IF($A$2=1,H3140,IF($A$2=2,I3140,IF($A$2=3,J3140,IF($A$2=4,K3140,IF($A$2&gt;4,O3140,"zadat jazyk")))))</f>
        <v>9.4461999999999993</v>
      </c>
      <c r="D3140" s="409" t="s">
        <v>1548</v>
      </c>
      <c r="E3140" s="409" t="s">
        <v>1976</v>
      </c>
      <c r="F3140" s="409" t="s">
        <v>2186</v>
      </c>
      <c r="G3140" s="409" t="s">
        <v>2485</v>
      </c>
      <c r="H3140" s="465">
        <v>262.72050999999999</v>
      </c>
      <c r="I3140" s="465">
        <v>9.4461999999999993</v>
      </c>
      <c r="J3140" s="465">
        <v>32.4831</v>
      </c>
      <c r="K3140" s="465">
        <v>3764.9086600000001</v>
      </c>
      <c r="L3140" s="464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Linea šatná tyč guľatá 4m strieborná</v>
      </c>
      <c r="C3141" s="185">
        <f t="shared" si="99"/>
        <v>0</v>
      </c>
      <c r="D3141" s="409" t="s">
        <v>1549</v>
      </c>
      <c r="E3141" s="409" t="s">
        <v>1977</v>
      </c>
      <c r="F3141" s="409" t="s">
        <v>2187</v>
      </c>
      <c r="G3141" s="409" t="s">
        <v>2486</v>
      </c>
      <c r="H3141" s="465">
        <v>0</v>
      </c>
      <c r="I3141" s="465">
        <v>0</v>
      </c>
      <c r="J3141" s="465">
        <v>0</v>
      </c>
      <c r="K3141" s="465">
        <v>0</v>
      </c>
      <c r="L3141" s="464" t="s">
        <v>540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Linea základný nosník 3m strieborná</v>
      </c>
      <c r="C3142" s="185">
        <f t="shared" si="99"/>
        <v>34.141649999999998</v>
      </c>
      <c r="D3142" s="409" t="s">
        <v>1550</v>
      </c>
      <c r="E3142" s="409" t="s">
        <v>1978</v>
      </c>
      <c r="F3142" s="409" t="s">
        <v>2188</v>
      </c>
      <c r="G3142" s="409" t="s">
        <v>6055</v>
      </c>
      <c r="H3142" s="465">
        <v>949.55733999999995</v>
      </c>
      <c r="I3142" s="465">
        <v>34.141649999999998</v>
      </c>
      <c r="J3142" s="465">
        <v>117.40448000000001</v>
      </c>
      <c r="K3142" s="465">
        <v>13607.604079999999</v>
      </c>
      <c r="L3142" s="464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Linea držiak oválnej tyče do nosníku</v>
      </c>
      <c r="C3143" s="185">
        <f t="shared" si="99"/>
        <v>1.5093099999999999</v>
      </c>
      <c r="D3143" s="409" t="s">
        <v>1551</v>
      </c>
      <c r="E3143" s="409" t="s">
        <v>1979</v>
      </c>
      <c r="F3143" s="409" t="s">
        <v>2189</v>
      </c>
      <c r="G3143" s="409" t="s">
        <v>2487</v>
      </c>
      <c r="H3143" s="465">
        <v>41.97739</v>
      </c>
      <c r="I3143" s="465">
        <v>1.5093099999999999</v>
      </c>
      <c r="J3143" s="465">
        <v>5.1901400000000004</v>
      </c>
      <c r="K3143" s="465">
        <v>601.55574999999999</v>
      </c>
      <c r="L3143" s="464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Linea držiak police</v>
      </c>
      <c r="C3144" s="185">
        <f t="shared" si="99"/>
        <v>2.7844199999999999</v>
      </c>
      <c r="D3144" s="409" t="s">
        <v>1552</v>
      </c>
      <c r="E3144" s="409" t="s">
        <v>1980</v>
      </c>
      <c r="F3144" s="409" t="s">
        <v>2190</v>
      </c>
      <c r="G3144" s="409" t="s">
        <v>2488</v>
      </c>
      <c r="H3144" s="465">
        <v>77.441040000000001</v>
      </c>
      <c r="I3144" s="465">
        <v>2.7844199999999999</v>
      </c>
      <c r="J3144" s="465">
        <v>9.5749200000000005</v>
      </c>
      <c r="K3144" s="465">
        <v>1109.7666300000001</v>
      </c>
      <c r="L3144" s="464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Linea držák police na boty</v>
      </c>
      <c r="C3145" s="185">
        <f t="shared" si="99"/>
        <v>3.4349799999999999</v>
      </c>
      <c r="D3145" s="409" t="s">
        <v>1553</v>
      </c>
      <c r="E3145" s="409" t="s">
        <v>1981</v>
      </c>
      <c r="F3145" s="409" t="s">
        <v>2191</v>
      </c>
      <c r="G3145" s="409" t="s">
        <v>2489</v>
      </c>
      <c r="H3145" s="465">
        <v>95.534729999999996</v>
      </c>
      <c r="I3145" s="465">
        <v>3.4349799999999999</v>
      </c>
      <c r="J3145" s="465">
        <v>11.81203</v>
      </c>
      <c r="K3145" s="465">
        <v>1369.0576699999999</v>
      </c>
      <c r="L3145" s="464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Linea záslepka kulaté šatní tyče</v>
      </c>
      <c r="C3146" s="185">
        <f t="shared" si="99"/>
        <v>0.33828999999999998</v>
      </c>
      <c r="D3146" s="409" t="s">
        <v>1554</v>
      </c>
      <c r="E3146" s="409" t="s">
        <v>1982</v>
      </c>
      <c r="F3146" s="409" t="s">
        <v>2192</v>
      </c>
      <c r="G3146" s="409" t="s">
        <v>2490</v>
      </c>
      <c r="H3146" s="465">
        <v>9.9840699999999991</v>
      </c>
      <c r="I3146" s="465">
        <v>0.33828999999999998</v>
      </c>
      <c r="J3146" s="465">
        <v>1.1832</v>
      </c>
      <c r="K3146" s="465">
        <v>138.65244999999999</v>
      </c>
      <c r="L3146" s="464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Linea záslepka nosníku</v>
      </c>
      <c r="C3147" s="185">
        <f t="shared" si="99"/>
        <v>1.35318</v>
      </c>
      <c r="D3147" s="409" t="s">
        <v>1555</v>
      </c>
      <c r="E3147" s="409" t="s">
        <v>1983</v>
      </c>
      <c r="F3147" s="409" t="s">
        <v>2193</v>
      </c>
      <c r="G3147" s="409" t="s">
        <v>6056</v>
      </c>
      <c r="H3147" s="465">
        <v>39.936300000000003</v>
      </c>
      <c r="I3147" s="465">
        <v>1.35318</v>
      </c>
      <c r="J3147" s="465">
        <v>4.6104000000000003</v>
      </c>
      <c r="K3147" s="465">
        <v>554.61022000000003</v>
      </c>
      <c r="L3147" s="464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Linea sada 8 ks upevňovacích uholníkov</v>
      </c>
      <c r="C3148" s="185">
        <f t="shared" si="99"/>
        <v>20.141490000000001</v>
      </c>
      <c r="D3148" s="409" t="s">
        <v>1556</v>
      </c>
      <c r="E3148" s="409" t="s">
        <v>1984</v>
      </c>
      <c r="F3148" s="409" t="s">
        <v>2194</v>
      </c>
      <c r="G3148" s="409" t="s">
        <v>6057</v>
      </c>
      <c r="H3148" s="465">
        <v>560.18092999999999</v>
      </c>
      <c r="I3148" s="465">
        <v>20.141490000000001</v>
      </c>
      <c r="J3148" s="465">
        <v>69.261480000000006</v>
      </c>
      <c r="K3148" s="465">
        <v>8027.6565700000001</v>
      </c>
      <c r="L3148" s="464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tlumič dorazu Top SV60 - 2ks</v>
      </c>
      <c r="C3149" s="185">
        <f t="shared" si="99"/>
        <v>51.030320000000003</v>
      </c>
      <c r="D3149" s="409" t="s">
        <v>3275</v>
      </c>
      <c r="E3149" s="409" t="s">
        <v>5014</v>
      </c>
      <c r="F3149" s="409" t="s">
        <v>1094</v>
      </c>
      <c r="G3149" s="409" t="s">
        <v>5015</v>
      </c>
      <c r="H3149" s="465">
        <v>1506.0596700000001</v>
      </c>
      <c r="I3149" s="465">
        <v>51.030320000000003</v>
      </c>
      <c r="J3149" s="465">
        <v>170.82550000000001</v>
      </c>
      <c r="K3149" s="465">
        <v>20915.208030000002</v>
      </c>
      <c r="L3149" s="464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str">
        <f t="shared" si="98"/>
        <v>SEVROLL Porto úchytová lišta 2,7m strieborn</v>
      </c>
      <c r="C3150" s="185" t="e">
        <f t="shared" si="99"/>
        <v>#N/A</v>
      </c>
      <c r="D3150" s="409" t="s">
        <v>3276</v>
      </c>
      <c r="E3150" s="409" t="s">
        <v>4618</v>
      </c>
      <c r="F3150" s="409" t="s">
        <v>1113</v>
      </c>
      <c r="G3150" s="409" t="s">
        <v>4619</v>
      </c>
      <c r="H3150" s="465" t="e">
        <v>#N/A</v>
      </c>
      <c r="I3150" s="465" t="e">
        <v>#N/A</v>
      </c>
      <c r="J3150" s="465" t="e">
        <v>#N/A</v>
      </c>
      <c r="K3150" s="465" t="e">
        <v>#N/A</v>
      </c>
      <c r="L3150" s="464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reklamná šablóna pre vozíky pre lamino 18mm</v>
      </c>
      <c r="C3151" s="185">
        <f t="shared" si="99"/>
        <v>0</v>
      </c>
      <c r="D3151" s="409" t="s">
        <v>3277</v>
      </c>
      <c r="E3151" s="409" t="s">
        <v>1814</v>
      </c>
      <c r="F3151" s="409" t="s">
        <v>5709</v>
      </c>
      <c r="G3151" s="409" t="s">
        <v>2380</v>
      </c>
      <c r="H3151" s="465">
        <v>0</v>
      </c>
      <c r="I3151" s="465">
        <v>0</v>
      </c>
      <c r="J3151" s="465">
        <v>0</v>
      </c>
      <c r="K3151" s="465">
        <v>0</v>
      </c>
      <c r="L3151" s="464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tlmič doraz.Simple 10/18, 25 - 40kg (L+P)</v>
      </c>
      <c r="C3152" s="185">
        <f t="shared" si="99"/>
        <v>24.695450000000001</v>
      </c>
      <c r="D3152" s="409" t="s">
        <v>3278</v>
      </c>
      <c r="E3152" s="409" t="s">
        <v>4652</v>
      </c>
      <c r="F3152" s="409" t="s">
        <v>4653</v>
      </c>
      <c r="G3152" s="409" t="s">
        <v>4654</v>
      </c>
      <c r="H3152" s="465">
        <v>728.83765000000005</v>
      </c>
      <c r="I3152" s="465">
        <v>24.695450000000001</v>
      </c>
      <c r="J3152" s="465">
        <v>109.51739999999999</v>
      </c>
      <c r="K3152" s="465">
        <v>10121.63823</v>
      </c>
      <c r="L3152" s="464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pozicionér pre horný vozík transparentný</v>
      </c>
      <c r="C3153" s="185">
        <f t="shared" si="99"/>
        <v>1.0929500000000001</v>
      </c>
      <c r="D3153" s="409" t="s">
        <v>3279</v>
      </c>
      <c r="E3153" s="409" t="s">
        <v>6202</v>
      </c>
      <c r="F3153" s="409" t="s">
        <v>6203</v>
      </c>
      <c r="G3153" s="409" t="s">
        <v>6204</v>
      </c>
      <c r="H3153" s="465">
        <v>32.256239999999998</v>
      </c>
      <c r="I3153" s="465">
        <v>1.0929500000000001</v>
      </c>
      <c r="J3153" s="465">
        <v>3.6623999999999999</v>
      </c>
      <c r="K3153" s="465">
        <v>447.95440000000002</v>
      </c>
      <c r="L3153" s="464" t="s">
        <v>695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uholník 18x36mm 3m strieborná</v>
      </c>
      <c r="C3154" s="185">
        <f t="shared" si="99"/>
        <v>10.74733</v>
      </c>
      <c r="D3154" s="409" t="s">
        <v>3280</v>
      </c>
      <c r="E3154" s="409" t="s">
        <v>4166</v>
      </c>
      <c r="F3154" s="409" t="s">
        <v>4167</v>
      </c>
      <c r="G3154" s="409" t="s">
        <v>4168</v>
      </c>
      <c r="H3154" s="465">
        <v>298.90791000000002</v>
      </c>
      <c r="I3154" s="465">
        <v>10.74733</v>
      </c>
      <c r="J3154" s="465">
        <v>39.565800000000003</v>
      </c>
      <c r="K3154" s="465">
        <v>4283.4911400000001</v>
      </c>
      <c r="L3154" s="464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Idea horné/spodné vedenie 2m strieborná</v>
      </c>
      <c r="C3155" s="185">
        <f t="shared" si="99"/>
        <v>15.1972</v>
      </c>
      <c r="D3155" s="409" t="s">
        <v>3281</v>
      </c>
      <c r="E3155" s="409" t="s">
        <v>4328</v>
      </c>
      <c r="F3155" s="409" t="s">
        <v>4329</v>
      </c>
      <c r="G3155" s="409" t="s">
        <v>4330</v>
      </c>
      <c r="H3155" s="465">
        <v>422.66881000000001</v>
      </c>
      <c r="I3155" s="465">
        <v>15.1972</v>
      </c>
      <c r="J3155" s="465">
        <v>52.259309999999999</v>
      </c>
      <c r="K3155" s="465">
        <v>6057.0431500000004</v>
      </c>
      <c r="L3155" s="464" t="s">
        <v>539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Idea horné/spodné vedenie 3m strieborná</v>
      </c>
      <c r="C3156" s="185">
        <f t="shared" si="99"/>
        <v>22.431480000000001</v>
      </c>
      <c r="D3156" s="409" t="s">
        <v>3282</v>
      </c>
      <c r="E3156" s="409" t="s">
        <v>4572</v>
      </c>
      <c r="F3156" s="409" t="s">
        <v>4573</v>
      </c>
      <c r="G3156" s="409" t="s">
        <v>4574</v>
      </c>
      <c r="H3156" s="465">
        <v>623.87075000000004</v>
      </c>
      <c r="I3156" s="465">
        <v>22.431480000000001</v>
      </c>
      <c r="J3156" s="465">
        <v>78.233999999999995</v>
      </c>
      <c r="K3156" s="465">
        <v>8940.3618100000003</v>
      </c>
      <c r="L3156" s="464" t="s">
        <v>539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Idea horné/spodné vedenie 6m strieborná</v>
      </c>
      <c r="C3157" s="185">
        <f t="shared" si="99"/>
        <v>44.862960000000001</v>
      </c>
      <c r="D3157" s="409" t="s">
        <v>3283</v>
      </c>
      <c r="E3157" s="409" t="s">
        <v>4952</v>
      </c>
      <c r="F3157" s="409" t="s">
        <v>4953</v>
      </c>
      <c r="G3157" s="409" t="s">
        <v>4954</v>
      </c>
      <c r="H3157" s="465">
        <v>1247.7415100000001</v>
      </c>
      <c r="I3157" s="465">
        <v>44.862960000000001</v>
      </c>
      <c r="J3157" s="465">
        <v>156.44759999999999</v>
      </c>
      <c r="K3157" s="465">
        <v>17880.723620000001</v>
      </c>
      <c r="L3157" s="464" t="s">
        <v>539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Idea sada kovania pre dvoje dvere 50kg</v>
      </c>
      <c r="C3158" s="185">
        <f t="shared" si="99"/>
        <v>50.382359999999998</v>
      </c>
      <c r="D3158" s="409" t="s">
        <v>3284</v>
      </c>
      <c r="E3158" s="409" t="s">
        <v>5016</v>
      </c>
      <c r="F3158" s="409" t="s">
        <v>5017</v>
      </c>
      <c r="G3158" s="409" t="s">
        <v>5018</v>
      </c>
      <c r="H3158" s="465">
        <v>1401.1760999999999</v>
      </c>
      <c r="I3158" s="465">
        <v>50.382359999999998</v>
      </c>
      <c r="J3158" s="465">
        <v>175.74600000000001</v>
      </c>
      <c r="K3158" s="465">
        <v>20079.513620000002</v>
      </c>
      <c r="L3158" s="464" t="s">
        <v>539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Idea sada kovania pre vnútorné dvere 50kg</v>
      </c>
      <c r="C3159" s="185">
        <f t="shared" si="99"/>
        <v>19.360810000000001</v>
      </c>
      <c r="D3159" s="409" t="s">
        <v>3285</v>
      </c>
      <c r="E3159" s="409" t="s">
        <v>4551</v>
      </c>
      <c r="F3159" s="409" t="s">
        <v>4552</v>
      </c>
      <c r="G3159" s="409" t="s">
        <v>4553</v>
      </c>
      <c r="H3159" s="465">
        <v>538.46848999999997</v>
      </c>
      <c r="I3159" s="465">
        <v>19.360810000000001</v>
      </c>
      <c r="J3159" s="465">
        <v>67.503600000000006</v>
      </c>
      <c r="K3159" s="465">
        <v>7716.5070900000001</v>
      </c>
      <c r="L3159" s="464" t="s">
        <v>539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pozicionér Simple Start</v>
      </c>
      <c r="C3160" s="185">
        <f t="shared" si="99"/>
        <v>0.23419999999999999</v>
      </c>
      <c r="D3160" s="409" t="s">
        <v>3286</v>
      </c>
      <c r="E3160" s="409" t="s">
        <v>5470</v>
      </c>
      <c r="F3160" s="409" t="s">
        <v>3286</v>
      </c>
      <c r="G3160" s="409" t="s">
        <v>5471</v>
      </c>
      <c r="H3160" s="465">
        <v>61.570659999999997</v>
      </c>
      <c r="I3160" s="465">
        <v>0.23419999999999999</v>
      </c>
      <c r="J3160" s="465">
        <v>1.6728000000000001</v>
      </c>
      <c r="K3160" s="465">
        <v>910.01793999999995</v>
      </c>
      <c r="L3160" s="464" t="s">
        <v>539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úchytka Push 90mm brúsený nikel</v>
      </c>
      <c r="C3161" s="185">
        <f t="shared" si="99"/>
        <v>12.93323</v>
      </c>
      <c r="D3161" s="409" t="s">
        <v>3287</v>
      </c>
      <c r="E3161" s="409" t="s">
        <v>4180</v>
      </c>
      <c r="F3161" s="409" t="s">
        <v>1090</v>
      </c>
      <c r="G3161" s="409" t="s">
        <v>4181</v>
      </c>
      <c r="H3161" s="465">
        <v>359.70274999999998</v>
      </c>
      <c r="I3161" s="465">
        <v>12.93323</v>
      </c>
      <c r="J3161" s="465">
        <v>47.093400000000003</v>
      </c>
      <c r="K3161" s="465">
        <v>5154.7099399999997</v>
      </c>
      <c r="L3161" s="464" t="s">
        <v>539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bezpečnostná fólia 300mm/50m transparentná</v>
      </c>
      <c r="C3162" s="185">
        <f t="shared" si="99"/>
        <v>42.781149999999997</v>
      </c>
      <c r="D3162" s="409" t="s">
        <v>3288</v>
      </c>
      <c r="E3162" s="409" t="s">
        <v>4949</v>
      </c>
      <c r="F3162" s="409" t="s">
        <v>4950</v>
      </c>
      <c r="G3162" s="409" t="s">
        <v>4951</v>
      </c>
      <c r="H3162" s="465">
        <v>1262.60177</v>
      </c>
      <c r="I3162" s="465">
        <v>42.781149999999997</v>
      </c>
      <c r="J3162" s="465">
        <v>143.16999999999999</v>
      </c>
      <c r="K3162" s="465">
        <v>17534.218120000001</v>
      </c>
      <c r="L3162" s="464" t="s">
        <v>539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bezpečnostná fólia 500mm/50m transparentná</v>
      </c>
      <c r="C3163" s="185">
        <f t="shared" si="99"/>
        <v>71.301919999999996</v>
      </c>
      <c r="D3163" s="409" t="s">
        <v>3289</v>
      </c>
      <c r="E3163" s="409" t="s">
        <v>5073</v>
      </c>
      <c r="F3163" s="409" t="s">
        <v>5074</v>
      </c>
      <c r="G3163" s="409" t="s">
        <v>5075</v>
      </c>
      <c r="H3163" s="465">
        <v>2104.3362999999999</v>
      </c>
      <c r="I3163" s="465">
        <v>71.301919999999996</v>
      </c>
      <c r="J3163" s="465">
        <v>238.62010000000001</v>
      </c>
      <c r="K3163" s="465">
        <v>29223.69715</v>
      </c>
      <c r="L3163" s="464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dorazová štetina zásuvná 4,8x4mm biela</v>
      </c>
      <c r="C3164" s="185">
        <f t="shared" si="99"/>
        <v>0.15629999999999999</v>
      </c>
      <c r="D3164" s="409" t="s">
        <v>3290</v>
      </c>
      <c r="E3164" s="409" t="s">
        <v>5134</v>
      </c>
      <c r="F3164" s="409" t="s">
        <v>5135</v>
      </c>
      <c r="G3164" s="409" t="s">
        <v>5136</v>
      </c>
      <c r="H3164" s="465">
        <v>4.6080500000000004</v>
      </c>
      <c r="I3164" s="465">
        <v>0.15629999999999999</v>
      </c>
      <c r="J3164" s="465">
        <v>0.59363999999999995</v>
      </c>
      <c r="K3164" s="465">
        <v>63.993670000000002</v>
      </c>
      <c r="L3164" s="464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protiprachový kartáč zásuvný 4,8x9mm šedý</v>
      </c>
      <c r="C3165" s="185">
        <f t="shared" si="99"/>
        <v>0.23419999999999999</v>
      </c>
      <c r="D3165" s="409" t="s">
        <v>3291</v>
      </c>
      <c r="E3165" s="409" t="s">
        <v>5140</v>
      </c>
      <c r="F3165" s="409" t="s">
        <v>3291</v>
      </c>
      <c r="G3165" s="409" t="s">
        <v>5141</v>
      </c>
      <c r="H3165" s="465">
        <v>6.9120600000000003</v>
      </c>
      <c r="I3165" s="465">
        <v>0.23419999999999999</v>
      </c>
      <c r="J3165" s="465">
        <v>0.89759999999999995</v>
      </c>
      <c r="K3165" s="465">
        <v>95.990279999999998</v>
      </c>
      <c r="L3165" s="464" t="s">
        <v>695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tlmič dorazu Top SV80 - 2ks</v>
      </c>
      <c r="C3166" s="185">
        <f t="shared" si="99"/>
        <v>54.569389999999999</v>
      </c>
      <c r="D3166" s="409" t="s">
        <v>3292</v>
      </c>
      <c r="E3166" s="409" t="s">
        <v>5023</v>
      </c>
      <c r="F3166" s="409" t="s">
        <v>1093</v>
      </c>
      <c r="G3166" s="409" t="s">
        <v>5024</v>
      </c>
      <c r="H3166" s="465">
        <v>1610.5084899999999</v>
      </c>
      <c r="I3166" s="465">
        <v>54.569389999999999</v>
      </c>
      <c r="J3166" s="465">
        <v>182.6087</v>
      </c>
      <c r="K3166" s="465">
        <v>22365.727480000001</v>
      </c>
      <c r="L3166" s="464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dorazová štetina zásuvná 14x4mm biela</v>
      </c>
      <c r="C3167" s="185">
        <f t="shared" si="99"/>
        <v>0.39034000000000002</v>
      </c>
      <c r="D3167" s="409" t="s">
        <v>3293</v>
      </c>
      <c r="E3167" s="409" t="s">
        <v>5142</v>
      </c>
      <c r="F3167" s="409" t="s">
        <v>5143</v>
      </c>
      <c r="G3167" s="409" t="s">
        <v>5144</v>
      </c>
      <c r="H3167" s="465">
        <v>11.520099999999999</v>
      </c>
      <c r="I3167" s="465">
        <v>0.39034000000000002</v>
      </c>
      <c r="J3167" s="465">
        <v>1.43</v>
      </c>
      <c r="K3167" s="465">
        <v>155.07764</v>
      </c>
      <c r="L3167" s="464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Everest vodiaca lišta 3m oliva</v>
      </c>
      <c r="C3168" s="185">
        <f t="shared" si="99"/>
        <v>29.89997</v>
      </c>
      <c r="D3168" s="409" t="s">
        <v>3294</v>
      </c>
      <c r="E3168" s="409" t="s">
        <v>4734</v>
      </c>
      <c r="F3168" s="409" t="s">
        <v>1176</v>
      </c>
      <c r="G3168" s="409" t="s">
        <v>4735</v>
      </c>
      <c r="H3168" s="465">
        <v>831.58642999999995</v>
      </c>
      <c r="I3168" s="465">
        <v>29.89997</v>
      </c>
      <c r="J3168" s="465">
        <v>102.81841</v>
      </c>
      <c r="K3168" s="465">
        <v>11917.02533</v>
      </c>
      <c r="L3168" s="464" t="s">
        <v>539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profil "U" na DTD 36mm oliva 3m</v>
      </c>
      <c r="C3169" s="185">
        <f t="shared" si="99"/>
        <v>16.888670000000001</v>
      </c>
      <c r="D3169" s="409" t="s">
        <v>3295</v>
      </c>
      <c r="E3169" s="409" t="s">
        <v>4374</v>
      </c>
      <c r="F3169" s="409" t="s">
        <v>1107</v>
      </c>
      <c r="G3169" s="409" t="s">
        <v>4375</v>
      </c>
      <c r="H3169" s="465">
        <v>469.71244000000002</v>
      </c>
      <c r="I3169" s="465">
        <v>16.888670000000001</v>
      </c>
      <c r="J3169" s="465">
        <v>58.075839999999999</v>
      </c>
      <c r="K3169" s="465">
        <v>6731.2005799999997</v>
      </c>
      <c r="L3169" s="464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profil "U" Mini na DTD 18mm oliva 3m</v>
      </c>
      <c r="C3170" s="185">
        <f t="shared" si="99"/>
        <v>4.6580500000000002</v>
      </c>
      <c r="D3170" s="409" t="s">
        <v>3296</v>
      </c>
      <c r="E3170" s="409" t="s">
        <v>3644</v>
      </c>
      <c r="F3170" s="409" t="s">
        <v>1109</v>
      </c>
      <c r="G3170" s="409" t="s">
        <v>3645</v>
      </c>
      <c r="H3170" s="465">
        <v>129.55089000000001</v>
      </c>
      <c r="I3170" s="465">
        <v>4.6580500000000002</v>
      </c>
      <c r="J3170" s="465">
        <v>16.01784</v>
      </c>
      <c r="K3170" s="465">
        <v>1856.52531</v>
      </c>
      <c r="L3170" s="464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spojovacia lišta H30 3m biela lesk</v>
      </c>
      <c r="C3171" s="185">
        <f t="shared" si="99"/>
        <v>13.58775</v>
      </c>
      <c r="D3171" s="409" t="s">
        <v>3297</v>
      </c>
      <c r="E3171" s="409" t="s">
        <v>4750</v>
      </c>
      <c r="F3171" s="409" t="s">
        <v>4751</v>
      </c>
      <c r="G3171" s="409" t="s">
        <v>4752</v>
      </c>
      <c r="H3171" s="465">
        <v>323.88938999999999</v>
      </c>
      <c r="I3171" s="465">
        <v>13.58775</v>
      </c>
      <c r="J3171" s="465">
        <v>58.634599999999999</v>
      </c>
      <c r="K3171" s="465">
        <v>5037.16003</v>
      </c>
      <c r="L3171" s="464" t="s">
        <v>540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uholník 18x36mm 3m oliva</v>
      </c>
      <c r="C3172" s="185">
        <f t="shared" si="99"/>
        <v>13.427659999999999</v>
      </c>
      <c r="D3172" s="409" t="s">
        <v>3298</v>
      </c>
      <c r="E3172" s="409" t="s">
        <v>4245</v>
      </c>
      <c r="F3172" s="409" t="s">
        <v>4246</v>
      </c>
      <c r="G3172" s="409" t="s">
        <v>4247</v>
      </c>
      <c r="H3172" s="465">
        <v>373.45397000000003</v>
      </c>
      <c r="I3172" s="465">
        <v>13.427659999999999</v>
      </c>
      <c r="J3172" s="465">
        <v>46.174309999999998</v>
      </c>
      <c r="K3172" s="465">
        <v>5351.7713000000003</v>
      </c>
      <c r="L3172" s="464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uholník 02462 36x36mm 3m oliva</v>
      </c>
      <c r="C3173" s="185">
        <f t="shared" si="99"/>
        <v>17.79946</v>
      </c>
      <c r="D3173" s="409" t="s">
        <v>3299</v>
      </c>
      <c r="E3173" s="409" t="s">
        <v>4434</v>
      </c>
      <c r="F3173" s="409" t="s">
        <v>4435</v>
      </c>
      <c r="G3173" s="409" t="s">
        <v>4436</v>
      </c>
      <c r="H3173" s="465">
        <v>495.04361</v>
      </c>
      <c r="I3173" s="465">
        <v>17.79946</v>
      </c>
      <c r="J3173" s="465">
        <v>61.207819999999998</v>
      </c>
      <c r="K3173" s="465">
        <v>7094.2080999999998</v>
      </c>
      <c r="L3173" s="464" t="s">
        <v>539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uholník 36x36mm 3m strieborná</v>
      </c>
      <c r="C3174" s="185">
        <f t="shared" si="99"/>
        <v>14.234360000000001</v>
      </c>
      <c r="D3174" s="409" t="s">
        <v>3300</v>
      </c>
      <c r="E3174" s="409" t="s">
        <v>4366</v>
      </c>
      <c r="F3174" s="409" t="s">
        <v>4367</v>
      </c>
      <c r="G3174" s="409" t="s">
        <v>4368</v>
      </c>
      <c r="H3174" s="465">
        <v>395.89015000000001</v>
      </c>
      <c r="I3174" s="465">
        <v>14.234360000000001</v>
      </c>
      <c r="J3174" s="465">
        <v>52.53</v>
      </c>
      <c r="K3174" s="465">
        <v>5673.29241</v>
      </c>
      <c r="L3174" s="464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klin pre lamino hrúbka 2mm (100 ks)</v>
      </c>
      <c r="C3175" s="185">
        <f t="shared" si="99"/>
        <v>8.7956400000000006</v>
      </c>
      <c r="D3175" s="409" t="s">
        <v>3301</v>
      </c>
      <c r="E3175" s="409" t="s">
        <v>4044</v>
      </c>
      <c r="F3175" s="409" t="s">
        <v>4045</v>
      </c>
      <c r="G3175" s="409" t="s">
        <v>4046</v>
      </c>
      <c r="H3175" s="465">
        <v>244.62682000000001</v>
      </c>
      <c r="I3175" s="465">
        <v>8.7956400000000006</v>
      </c>
      <c r="J3175" s="465">
        <v>30.24597</v>
      </c>
      <c r="K3175" s="465">
        <v>3505.61762</v>
      </c>
      <c r="L3175" s="464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str">
        <f t="shared" si="98"/>
        <v>SEVROLL Porto úchytová lišta 2,7m oliva</v>
      </c>
      <c r="C3176" s="185" t="e">
        <f t="shared" si="99"/>
        <v>#N/A</v>
      </c>
      <c r="D3176" s="409" t="s">
        <v>3302</v>
      </c>
      <c r="E3176" s="409" t="s">
        <v>4717</v>
      </c>
      <c r="F3176" s="409" t="s">
        <v>1114</v>
      </c>
      <c r="G3176" s="409" t="s">
        <v>4718</v>
      </c>
      <c r="H3176" s="465" t="e">
        <v>#N/A</v>
      </c>
      <c r="I3176" s="465" t="e">
        <v>#N/A</v>
      </c>
      <c r="J3176" s="465" t="e">
        <v>#N/A</v>
      </c>
      <c r="K3176" s="465" t="e">
        <v>#N/A</v>
      </c>
      <c r="L3176" s="464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tlmič dorazu Mini SV-60 (40-60kg)</v>
      </c>
      <c r="C3177" s="185">
        <f t="shared" si="99"/>
        <v>9.5763200000000008</v>
      </c>
      <c r="D3177" s="409" t="s">
        <v>3303</v>
      </c>
      <c r="E3177" s="409" t="s">
        <v>4028</v>
      </c>
      <c r="F3177" s="409" t="s">
        <v>4029</v>
      </c>
      <c r="G3177" s="409" t="s">
        <v>4030</v>
      </c>
      <c r="H3177" s="465">
        <v>282.62619999999998</v>
      </c>
      <c r="I3177" s="465">
        <v>9.5763200000000008</v>
      </c>
      <c r="J3177" s="465">
        <v>38.056199999999997</v>
      </c>
      <c r="K3177" s="465">
        <v>3924.9345899999998</v>
      </c>
      <c r="L3177" s="464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protiprachový kartáč samolep. 6,7x13mm</v>
      </c>
      <c r="C3178" s="185">
        <f t="shared" si="99"/>
        <v>0.34048</v>
      </c>
      <c r="D3178" s="409" t="s">
        <v>1191</v>
      </c>
      <c r="E3178" s="409" t="s">
        <v>5117</v>
      </c>
      <c r="F3178" s="409" t="s">
        <v>1192</v>
      </c>
      <c r="G3178" s="409" t="s">
        <v>5118</v>
      </c>
      <c r="H3178" s="465">
        <v>10.475239999999999</v>
      </c>
      <c r="I3178" s="465">
        <v>0.34048</v>
      </c>
      <c r="J3178" s="465">
        <v>1.2647999999999999</v>
      </c>
      <c r="K3178" s="465">
        <v>101.37326</v>
      </c>
      <c r="L3178" s="464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okrasná lišta S18 s lepidlom 3m strieborná</v>
      </c>
      <c r="C3179" s="185">
        <f t="shared" si="99"/>
        <v>11.501989999999999</v>
      </c>
      <c r="D3179" s="409" t="s">
        <v>3304</v>
      </c>
      <c r="E3179" s="409" t="s">
        <v>4047</v>
      </c>
      <c r="F3179" s="409" t="s">
        <v>4048</v>
      </c>
      <c r="G3179" s="409" t="s">
        <v>4049</v>
      </c>
      <c r="H3179" s="465">
        <v>319.89659999999998</v>
      </c>
      <c r="I3179" s="465">
        <v>11.501989999999999</v>
      </c>
      <c r="J3179" s="465">
        <v>39.552430000000001</v>
      </c>
      <c r="K3179" s="465">
        <v>4584.2690199999997</v>
      </c>
      <c r="L3179" s="464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okrasná lišta S18 s lepidlom 3m oliva</v>
      </c>
      <c r="C3180" s="185">
        <f t="shared" si="99"/>
        <v>13.739929999999999</v>
      </c>
      <c r="D3180" s="409" t="s">
        <v>3305</v>
      </c>
      <c r="E3180" s="409" t="s">
        <v>4119</v>
      </c>
      <c r="F3180" s="409" t="s">
        <v>4120</v>
      </c>
      <c r="G3180" s="409" t="s">
        <v>2367</v>
      </c>
      <c r="H3180" s="465">
        <v>382.13893999999999</v>
      </c>
      <c r="I3180" s="465">
        <v>13.739929999999999</v>
      </c>
      <c r="J3180" s="465">
        <v>47.248139999999999</v>
      </c>
      <c r="K3180" s="465">
        <v>5476.2310200000002</v>
      </c>
      <c r="L3180" s="464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spodné vedenie 6m biela lesk</v>
      </c>
      <c r="C3181" s="185">
        <f t="shared" si="99"/>
        <v>37.914929999999998</v>
      </c>
      <c r="D3181" s="409" t="s">
        <v>3306</v>
      </c>
      <c r="E3181" s="409" t="s">
        <v>4896</v>
      </c>
      <c r="F3181" s="409" t="s">
        <v>4897</v>
      </c>
      <c r="G3181" s="409" t="s">
        <v>4898</v>
      </c>
      <c r="H3181" s="465">
        <v>1054.50082</v>
      </c>
      <c r="I3181" s="465">
        <v>37.914929999999998</v>
      </c>
      <c r="J3181" s="465">
        <v>143.60579999999999</v>
      </c>
      <c r="K3181" s="465">
        <v>15111.493469999999</v>
      </c>
      <c r="L3181" s="464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spodné vedenie  1,7m oliva</v>
      </c>
      <c r="C3182" s="185">
        <f t="shared" si="99"/>
        <v>10.69529</v>
      </c>
      <c r="D3182" s="409" t="s">
        <v>3307</v>
      </c>
      <c r="E3182" s="409" t="s">
        <v>4072</v>
      </c>
      <c r="F3182" s="409" t="s">
        <v>4073</v>
      </c>
      <c r="G3182" s="409" t="s">
        <v>4074</v>
      </c>
      <c r="H3182" s="465">
        <v>297.46042</v>
      </c>
      <c r="I3182" s="465">
        <v>10.69529</v>
      </c>
      <c r="J3182" s="465">
        <v>36.778399999999998</v>
      </c>
      <c r="K3182" s="465">
        <v>4262.74791</v>
      </c>
      <c r="L3182" s="464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spodné vedenie  2,35m oliva</v>
      </c>
      <c r="C3183" s="185">
        <f t="shared" si="99"/>
        <v>14.80686</v>
      </c>
      <c r="D3183" s="409" t="s">
        <v>3308</v>
      </c>
      <c r="E3183" s="409" t="s">
        <v>4298</v>
      </c>
      <c r="F3183" s="409" t="s">
        <v>4299</v>
      </c>
      <c r="G3183" s="409" t="s">
        <v>4300</v>
      </c>
      <c r="H3183" s="465">
        <v>411.81259999999997</v>
      </c>
      <c r="I3183" s="465">
        <v>14.80686</v>
      </c>
      <c r="J3183" s="465">
        <v>50.91704</v>
      </c>
      <c r="K3183" s="465">
        <v>5901.4686199999996</v>
      </c>
      <c r="L3183" s="464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spodné vedenie  3m oliva</v>
      </c>
      <c r="C3184" s="185">
        <f t="shared" si="99"/>
        <v>18.892410000000002</v>
      </c>
      <c r="D3184" s="409" t="s">
        <v>3309</v>
      </c>
      <c r="E3184" s="409" t="s">
        <v>4453</v>
      </c>
      <c r="F3184" s="409" t="s">
        <v>4454</v>
      </c>
      <c r="G3184" s="409" t="s">
        <v>4455</v>
      </c>
      <c r="H3184" s="465">
        <v>525.44104000000004</v>
      </c>
      <c r="I3184" s="465">
        <v>18.892410000000002</v>
      </c>
      <c r="J3184" s="465">
        <v>64.966210000000004</v>
      </c>
      <c r="K3184" s="465">
        <v>7529.8176999999996</v>
      </c>
      <c r="L3184" s="464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spodné vedenie  4,05m oliva</v>
      </c>
      <c r="C3185" s="185">
        <f t="shared" si="99"/>
        <v>25.50215</v>
      </c>
      <c r="D3185" s="409" t="s">
        <v>3310</v>
      </c>
      <c r="E3185" s="409" t="s">
        <v>4646</v>
      </c>
      <c r="F3185" s="409" t="s">
        <v>4647</v>
      </c>
      <c r="G3185" s="409" t="s">
        <v>4648</v>
      </c>
      <c r="H3185" s="465">
        <v>709.27301999999997</v>
      </c>
      <c r="I3185" s="465">
        <v>25.50215</v>
      </c>
      <c r="J3185" s="465">
        <v>87.695409999999995</v>
      </c>
      <c r="K3185" s="465">
        <v>10164.21653</v>
      </c>
      <c r="L3185" s="464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spodné vedenie  6m oliva</v>
      </c>
      <c r="C3186" s="185">
        <f t="shared" si="99"/>
        <v>37.784820000000003</v>
      </c>
      <c r="D3186" s="409" t="s">
        <v>3311</v>
      </c>
      <c r="E3186" s="409" t="s">
        <v>4865</v>
      </c>
      <c r="F3186" s="409" t="s">
        <v>4866</v>
      </c>
      <c r="G3186" s="409" t="s">
        <v>4867</v>
      </c>
      <c r="H3186" s="465">
        <v>1050.8820599999999</v>
      </c>
      <c r="I3186" s="465">
        <v>37.784820000000003</v>
      </c>
      <c r="J3186" s="465">
        <v>129.93239</v>
      </c>
      <c r="K3186" s="465">
        <v>15059.635029999999</v>
      </c>
      <c r="L3186" s="464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Hide M spodné vedenie 1,7m strieborná</v>
      </c>
      <c r="C3187" s="185">
        <f t="shared" si="99"/>
        <v>4.9442899999999996</v>
      </c>
      <c r="D3187" s="409" t="s">
        <v>3312</v>
      </c>
      <c r="E3187" s="409" t="s">
        <v>3703</v>
      </c>
      <c r="F3187" s="409" t="s">
        <v>3704</v>
      </c>
      <c r="G3187" s="409" t="s">
        <v>3705</v>
      </c>
      <c r="H3187" s="465">
        <v>131.08169000000001</v>
      </c>
      <c r="I3187" s="465">
        <v>4.9442899999999996</v>
      </c>
      <c r="J3187" s="465">
        <v>16.868539999999999</v>
      </c>
      <c r="K3187" s="465">
        <v>1914.7660599999999</v>
      </c>
      <c r="L3187" s="464" t="s">
        <v>539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spodné vedenie 2,35m strieborná</v>
      </c>
      <c r="C3188" s="185">
        <f t="shared" si="99"/>
        <v>6.8439399999999999</v>
      </c>
      <c r="D3188" s="409" t="s">
        <v>3313</v>
      </c>
      <c r="E3188" s="409" t="s">
        <v>3837</v>
      </c>
      <c r="F3188" s="409" t="s">
        <v>3838</v>
      </c>
      <c r="G3188" s="409" t="s">
        <v>3839</v>
      </c>
      <c r="H3188" s="465">
        <v>181.44465</v>
      </c>
      <c r="I3188" s="465">
        <v>6.8439399999999999</v>
      </c>
      <c r="J3188" s="465">
        <v>23.349630000000001</v>
      </c>
      <c r="K3188" s="465">
        <v>2650.43923</v>
      </c>
      <c r="L3188" s="464" t="s">
        <v>539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SEVROLL02676 Hide M dolné vedenie 6m strieborná</v>
      </c>
      <c r="C3189" s="185">
        <f t="shared" si="99"/>
        <v>17.53923</v>
      </c>
      <c r="D3189" s="409" t="s">
        <v>3314</v>
      </c>
      <c r="E3189" s="409" t="s">
        <v>4469</v>
      </c>
      <c r="F3189" s="409" t="s">
        <v>4470</v>
      </c>
      <c r="G3189" s="409" t="s">
        <v>4471</v>
      </c>
      <c r="H3189" s="465">
        <v>464.99504999999999</v>
      </c>
      <c r="I3189" s="465">
        <v>17.53923</v>
      </c>
      <c r="J3189" s="465">
        <v>59.838949999999997</v>
      </c>
      <c r="K3189" s="465">
        <v>6792.3805199999997</v>
      </c>
      <c r="L3189" s="464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sada Fold pre 2 krídla ľavá</v>
      </c>
      <c r="C3190" s="185">
        <f t="shared" si="99"/>
        <v>56.911430000000003</v>
      </c>
      <c r="D3190" s="409" t="s">
        <v>1344</v>
      </c>
      <c r="E3190" s="409" t="s">
        <v>1795</v>
      </c>
      <c r="F3190" s="409" t="s">
        <v>5808</v>
      </c>
      <c r="G3190" s="409" t="s">
        <v>2367</v>
      </c>
      <c r="H3190" s="465">
        <v>1582.8368399999999</v>
      </c>
      <c r="I3190" s="465">
        <v>56.911430000000003</v>
      </c>
      <c r="J3190" s="465">
        <v>198.59399999999999</v>
      </c>
      <c r="K3190" s="465">
        <v>22682.797610000001</v>
      </c>
      <c r="L3190" s="464" t="s">
        <v>539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sada Fold pro 2 krídla pravá</v>
      </c>
      <c r="C3191" s="185">
        <f t="shared" si="99"/>
        <v>56.911430000000003</v>
      </c>
      <c r="D3191" s="409" t="s">
        <v>1345</v>
      </c>
      <c r="E3191" s="409" t="s">
        <v>1796</v>
      </c>
      <c r="F3191" s="409" t="s">
        <v>5809</v>
      </c>
      <c r="G3191" s="409" t="s">
        <v>2368</v>
      </c>
      <c r="H3191" s="465">
        <v>1582.8368399999999</v>
      </c>
      <c r="I3191" s="465">
        <v>56.911430000000003</v>
      </c>
      <c r="J3191" s="465">
        <v>198.59399999999999</v>
      </c>
      <c r="K3191" s="465">
        <v>22682.797610000001</v>
      </c>
      <c r="L3191" s="464" t="s">
        <v>539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krycí profil Galaxy 1,5 m</v>
      </c>
      <c r="C3192" s="185">
        <f t="shared" si="99"/>
        <v>0</v>
      </c>
      <c r="D3192" s="409" t="s">
        <v>3315</v>
      </c>
      <c r="E3192" s="409" t="s">
        <v>3892</v>
      </c>
      <c r="F3192" s="409" t="s">
        <v>3893</v>
      </c>
      <c r="G3192" s="409" t="s">
        <v>3894</v>
      </c>
      <c r="H3192" s="465">
        <v>0</v>
      </c>
      <c r="I3192" s="465">
        <v>0</v>
      </c>
      <c r="J3192" s="465">
        <v>0</v>
      </c>
      <c r="K3192" s="465">
        <v>0</v>
      </c>
      <c r="L3192" s="464" t="s">
        <v>540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Fala úchytová lišta 10mm 2,5m strie</v>
      </c>
      <c r="C3193" s="185">
        <f t="shared" si="99"/>
        <v>9.6804100000000002</v>
      </c>
      <c r="D3193" s="409" t="s">
        <v>3316</v>
      </c>
      <c r="E3193" s="409" t="s">
        <v>4042</v>
      </c>
      <c r="F3193" s="409" t="s">
        <v>1169</v>
      </c>
      <c r="G3193" s="409" t="s">
        <v>4043</v>
      </c>
      <c r="H3193" s="465">
        <v>266.32884000000001</v>
      </c>
      <c r="I3193" s="465">
        <v>9.6804100000000002</v>
      </c>
      <c r="J3193" s="465">
        <v>42.051870000000001</v>
      </c>
      <c r="K3193" s="465">
        <v>3936.3558400000002</v>
      </c>
      <c r="L3193" s="464" t="s">
        <v>539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str">
        <f t="shared" si="98"/>
        <v>SEVROLL Polo úchytová lišta 10mm 2,5m strie</v>
      </c>
      <c r="C3194" s="185" t="e">
        <f t="shared" si="99"/>
        <v>#N/A</v>
      </c>
      <c r="D3194" s="409" t="s">
        <v>3317</v>
      </c>
      <c r="E3194" s="409" t="s">
        <v>4088</v>
      </c>
      <c r="F3194" s="409" t="s">
        <v>1116</v>
      </c>
      <c r="G3194" s="409" t="s">
        <v>4089</v>
      </c>
      <c r="H3194" s="465" t="e">
        <v>#N/A</v>
      </c>
      <c r="I3194" s="465" t="e">
        <v>#N/A</v>
      </c>
      <c r="J3194" s="465" t="e">
        <v>#N/A</v>
      </c>
      <c r="K3194" s="465" t="e">
        <v>#N/A</v>
      </c>
      <c r="L3194" s="464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vedenie Galaxy B 50kg na stenu 1,5m</v>
      </c>
      <c r="C3195" s="185">
        <f t="shared" si="99"/>
        <v>9.8105200000000004</v>
      </c>
      <c r="D3195" s="409" t="s">
        <v>3318</v>
      </c>
      <c r="E3195" s="409" t="s">
        <v>3935</v>
      </c>
      <c r="F3195" s="409" t="s">
        <v>1087</v>
      </c>
      <c r="G3195" s="409" t="s">
        <v>3936</v>
      </c>
      <c r="H3195" s="465">
        <v>260.09368000000001</v>
      </c>
      <c r="I3195" s="465">
        <v>9.8105200000000004</v>
      </c>
      <c r="J3195" s="465">
        <v>33.484079999999999</v>
      </c>
      <c r="K3195" s="465">
        <v>3799.2991000000002</v>
      </c>
      <c r="L3195" s="464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vedenie Galaxy B 50kg na stenu 2,5m</v>
      </c>
      <c r="C3196" s="185">
        <f t="shared" si="99"/>
        <v>0</v>
      </c>
      <c r="D3196" s="409" t="s">
        <v>3319</v>
      </c>
      <c r="E3196" s="409" t="s">
        <v>5669</v>
      </c>
      <c r="F3196" s="409" t="s">
        <v>1086</v>
      </c>
      <c r="G3196" s="409" t="s">
        <v>5670</v>
      </c>
      <c r="H3196" s="465">
        <v>0</v>
      </c>
      <c r="I3196" s="465">
        <v>0</v>
      </c>
      <c r="J3196" s="465">
        <v>0</v>
      </c>
      <c r="K3196" s="465">
        <v>0</v>
      </c>
      <c r="L3196" s="464" t="s">
        <v>540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vedenie Galaxy B 50kg na stenu 4m</v>
      </c>
      <c r="C3197" s="185">
        <f t="shared" si="99"/>
        <v>26.152709999999999</v>
      </c>
      <c r="D3197" s="409" t="s">
        <v>3320</v>
      </c>
      <c r="E3197" s="409" t="s">
        <v>5667</v>
      </c>
      <c r="F3197" s="409" t="s">
        <v>1085</v>
      </c>
      <c r="G3197" s="409" t="s">
        <v>5668</v>
      </c>
      <c r="H3197" s="465">
        <v>693.35317999999995</v>
      </c>
      <c r="I3197" s="465">
        <v>26.152709999999999</v>
      </c>
      <c r="J3197" s="465">
        <v>89.2346</v>
      </c>
      <c r="K3197" s="465">
        <v>10128.1049</v>
      </c>
      <c r="L3197" s="464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vedenie Galaxy S 50kg do stropu 1,5m</v>
      </c>
      <c r="C3198" s="185">
        <f t="shared" si="99"/>
        <v>9.3421099999999999</v>
      </c>
      <c r="D3198" s="409" t="s">
        <v>3321</v>
      </c>
      <c r="E3198" s="409" t="s">
        <v>5665</v>
      </c>
      <c r="F3198" s="409" t="s">
        <v>1084</v>
      </c>
      <c r="G3198" s="409" t="s">
        <v>5666</v>
      </c>
      <c r="H3198" s="465">
        <v>247.67541</v>
      </c>
      <c r="I3198" s="465">
        <v>9.3421099999999999</v>
      </c>
      <c r="J3198" s="465">
        <v>31.881550000000001</v>
      </c>
      <c r="K3198" s="465">
        <v>3617.9001400000002</v>
      </c>
      <c r="L3198" s="464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vedenie Galaxy S 50kg do stropu 2,5m</v>
      </c>
      <c r="C3199" s="185">
        <f t="shared" si="99"/>
        <v>0</v>
      </c>
      <c r="D3199" s="409" t="s">
        <v>3322</v>
      </c>
      <c r="E3199" s="409" t="s">
        <v>5663</v>
      </c>
      <c r="F3199" s="409" t="s">
        <v>1083</v>
      </c>
      <c r="G3199" s="409" t="s">
        <v>5664</v>
      </c>
      <c r="H3199" s="465">
        <v>0</v>
      </c>
      <c r="I3199" s="465">
        <v>0</v>
      </c>
      <c r="J3199" s="465">
        <v>0</v>
      </c>
      <c r="K3199" s="465">
        <v>0</v>
      </c>
      <c r="L3199" s="464" t="s">
        <v>540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vedenie Galaxy S 50kg do stropu 4m</v>
      </c>
      <c r="C3200" s="185">
        <f t="shared" si="99"/>
        <v>24.90363</v>
      </c>
      <c r="D3200" s="409" t="s">
        <v>3323</v>
      </c>
      <c r="E3200" s="409" t="s">
        <v>5661</v>
      </c>
      <c r="F3200" s="409" t="s">
        <v>1082</v>
      </c>
      <c r="G3200" s="409" t="s">
        <v>5662</v>
      </c>
      <c r="H3200" s="465">
        <v>660.23779999999999</v>
      </c>
      <c r="I3200" s="465">
        <v>24.90363</v>
      </c>
      <c r="J3200" s="465">
        <v>84.933130000000006</v>
      </c>
      <c r="K3200" s="465">
        <v>9644.3744600000009</v>
      </c>
      <c r="L3200" s="464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horné vedenie 6m biela lesk</v>
      </c>
      <c r="C3201" s="185">
        <f t="shared" si="99"/>
        <v>64.95241</v>
      </c>
      <c r="D3201" s="409" t="s">
        <v>3324</v>
      </c>
      <c r="E3201" s="409" t="s">
        <v>5291</v>
      </c>
      <c r="F3201" s="409" t="s">
        <v>5292</v>
      </c>
      <c r="G3201" s="409" t="s">
        <v>5293</v>
      </c>
      <c r="H3201" s="465">
        <v>1806.47497</v>
      </c>
      <c r="I3201" s="465">
        <v>64.95241</v>
      </c>
      <c r="J3201" s="465">
        <v>263.56799999999998</v>
      </c>
      <c r="K3201" s="465">
        <v>25887.637350000001</v>
      </c>
      <c r="L3201" s="464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str">
        <f t="shared" si="98"/>
        <v/>
      </c>
      <c r="C3202" s="185" t="e">
        <f t="shared" si="99"/>
        <v>#N/A</v>
      </c>
      <c r="D3202" s="409" t="s">
        <v>1319</v>
      </c>
      <c r="E3202" s="409" t="s">
        <v>5778</v>
      </c>
      <c r="F3202" s="409" t="s">
        <v>68</v>
      </c>
      <c r="G3202" s="409" t="s">
        <v>5779</v>
      </c>
      <c r="H3202" s="465" t="e">
        <v>#N/A</v>
      </c>
      <c r="I3202" s="465" t="e">
        <v>#N/A</v>
      </c>
      <c r="J3202" s="465" t="e">
        <v>#N/A</v>
      </c>
      <c r="K3202" s="465" t="e">
        <v>#N/A</v>
      </c>
      <c r="L3202" s="464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str">
        <f t="shared" si="98"/>
        <v>SEVROLL 221-300 sada Herkules plus 25kg HP2/25 1,2m</v>
      </c>
      <c r="C3203" s="185" t="e">
        <f t="shared" si="99"/>
        <v>#N/A</v>
      </c>
      <c r="D3203" s="409" t="s">
        <v>1417</v>
      </c>
      <c r="E3203" s="409" t="s">
        <v>1862</v>
      </c>
      <c r="F3203" s="409" t="s">
        <v>1417</v>
      </c>
      <c r="G3203" s="409" t="s">
        <v>2409</v>
      </c>
      <c r="H3203" s="465" t="e">
        <v>#N/A</v>
      </c>
      <c r="I3203" s="465" t="e">
        <v>#N/A</v>
      </c>
      <c r="J3203" s="465" t="e">
        <v>#N/A</v>
      </c>
      <c r="K3203" s="465" t="e">
        <v>#N/A</v>
      </c>
      <c r="L3203" s="464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str">
        <f t="shared" ref="B3204:B3267" si="100">IF($A$2=1,D3204,IF($A$2=2,F3204,IF($A$2=3,G3204,IF($A$2=4,E3204,IF($A$2&gt;4,P3204,"zadat jazyk")))))</f>
        <v>SEVROLL 219-313 Herkules Glass sada kovania 100kg</v>
      </c>
      <c r="C3204" s="185" t="e">
        <f t="shared" ref="C3204:C3267" si="101">IF($A$2=1,H3204,IF($A$2=2,I3204,IF($A$2=3,J3204,IF($A$2=4,K3204,IF($A$2&gt;4,O3204,"zadat jazyk")))))</f>
        <v>#N/A</v>
      </c>
      <c r="D3204" s="409" t="s">
        <v>3325</v>
      </c>
      <c r="E3204" s="409" t="s">
        <v>5078</v>
      </c>
      <c r="F3204" s="409" t="s">
        <v>5079</v>
      </c>
      <c r="G3204" s="409" t="s">
        <v>5080</v>
      </c>
      <c r="H3204" s="465" t="e">
        <v>#N/A</v>
      </c>
      <c r="I3204" s="465" t="e">
        <v>#N/A</v>
      </c>
      <c r="J3204" s="465" t="e">
        <v>#N/A</v>
      </c>
      <c r="K3204" s="465" t="e">
        <v>#N/A</v>
      </c>
      <c r="L3204" s="464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držiak pôdy skrine u šikmých stropov</v>
      </c>
      <c r="C3205" s="185">
        <f t="shared" si="101"/>
        <v>29.743829999999999</v>
      </c>
      <c r="D3205" s="409" t="s">
        <v>3326</v>
      </c>
      <c r="E3205" s="409" t="s">
        <v>4809</v>
      </c>
      <c r="F3205" s="409" t="s">
        <v>4810</v>
      </c>
      <c r="G3205" s="409" t="s">
        <v>4811</v>
      </c>
      <c r="H3205" s="465">
        <v>827.24392999999998</v>
      </c>
      <c r="I3205" s="465">
        <v>29.743829999999999</v>
      </c>
      <c r="J3205" s="465">
        <v>102.28149999999999</v>
      </c>
      <c r="K3205" s="465">
        <v>11854.79528</v>
      </c>
      <c r="L3205" s="464" t="s">
        <v>539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maska Elegant II 1,7m zlatá</v>
      </c>
      <c r="C3206" s="185">
        <f t="shared" si="101"/>
        <v>3.20078</v>
      </c>
      <c r="D3206" s="409" t="s">
        <v>3327</v>
      </c>
      <c r="E3206" s="409" t="s">
        <v>5431</v>
      </c>
      <c r="F3206" s="409" t="s">
        <v>1137</v>
      </c>
      <c r="G3206" s="409" t="s">
        <v>5432</v>
      </c>
      <c r="H3206" s="465">
        <v>89.020989999999998</v>
      </c>
      <c r="I3206" s="465">
        <v>3.20078</v>
      </c>
      <c r="J3206" s="465">
        <v>11.006679999999999</v>
      </c>
      <c r="K3206" s="465">
        <v>1275.7127599999999</v>
      </c>
      <c r="L3206" s="464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maska Elegant II 2,35m zlatá</v>
      </c>
      <c r="C3207" s="185">
        <f t="shared" si="101"/>
        <v>4.4238400000000002</v>
      </c>
      <c r="D3207" s="409" t="s">
        <v>3328</v>
      </c>
      <c r="E3207" s="409" t="s">
        <v>5438</v>
      </c>
      <c r="F3207" s="409" t="s">
        <v>1136</v>
      </c>
      <c r="G3207" s="409" t="s">
        <v>5439</v>
      </c>
      <c r="H3207" s="465">
        <v>123.03716</v>
      </c>
      <c r="I3207" s="465">
        <v>4.4238400000000002</v>
      </c>
      <c r="J3207" s="465">
        <v>15.21246</v>
      </c>
      <c r="K3207" s="465">
        <v>1763.1804299999999</v>
      </c>
      <c r="L3207" s="464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maska Elegant II 3m zlatá</v>
      </c>
      <c r="C3208" s="185">
        <f t="shared" si="101"/>
        <v>7.6506400000000001</v>
      </c>
      <c r="D3208" s="409" t="s">
        <v>3329</v>
      </c>
      <c r="E3208" s="409" t="s">
        <v>5445</v>
      </c>
      <c r="F3208" s="409" t="s">
        <v>1135</v>
      </c>
      <c r="G3208" s="409" t="s">
        <v>5446</v>
      </c>
      <c r="H3208" s="465">
        <v>210.05124000000001</v>
      </c>
      <c r="I3208" s="465">
        <v>7.6506400000000001</v>
      </c>
      <c r="J3208" s="465">
        <v>19.507760000000001</v>
      </c>
      <c r="K3208" s="465">
        <v>2261.0196700000001</v>
      </c>
      <c r="L3208" s="464" t="s">
        <v>538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maska Elegant II 4,05m zlatá</v>
      </c>
      <c r="C3209" s="185">
        <f t="shared" si="101"/>
        <v>7.6506400000000001</v>
      </c>
      <c r="D3209" s="409" t="s">
        <v>3330</v>
      </c>
      <c r="E3209" s="409" t="s">
        <v>5452</v>
      </c>
      <c r="F3209" s="409" t="s">
        <v>1134</v>
      </c>
      <c r="G3209" s="409" t="s">
        <v>5453</v>
      </c>
      <c r="H3209" s="465">
        <v>212.78190000000001</v>
      </c>
      <c r="I3209" s="465">
        <v>7.6506400000000001</v>
      </c>
      <c r="J3209" s="465">
        <v>26.30864</v>
      </c>
      <c r="K3209" s="465">
        <v>3049.2647999999999</v>
      </c>
      <c r="L3209" s="464" t="s">
        <v>538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maska ??Elegant II 6m zlatá</v>
      </c>
      <c r="C3210" s="185">
        <f t="shared" si="101"/>
        <v>11.31983</v>
      </c>
      <c r="D3210" s="409" t="s">
        <v>3331</v>
      </c>
      <c r="E3210" s="409" t="s">
        <v>5459</v>
      </c>
      <c r="F3210" s="409" t="s">
        <v>5460</v>
      </c>
      <c r="G3210" s="409" t="s">
        <v>5461</v>
      </c>
      <c r="H3210" s="465">
        <v>314.83039000000002</v>
      </c>
      <c r="I3210" s="465">
        <v>11.31983</v>
      </c>
      <c r="J3210" s="465">
        <v>38.926020000000001</v>
      </c>
      <c r="K3210" s="465">
        <v>4511.6677399999999</v>
      </c>
      <c r="L3210" s="464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maska Elegant II 1,7m oliva</v>
      </c>
      <c r="C3211" s="185">
        <f t="shared" si="101"/>
        <v>3.20078</v>
      </c>
      <c r="D3211" s="409" t="s">
        <v>3332</v>
      </c>
      <c r="E3211" s="409" t="s">
        <v>5427</v>
      </c>
      <c r="F3211" s="409" t="s">
        <v>3332</v>
      </c>
      <c r="G3211" s="409" t="s">
        <v>5428</v>
      </c>
      <c r="H3211" s="465">
        <v>89.020989999999998</v>
      </c>
      <c r="I3211" s="465">
        <v>3.20078</v>
      </c>
      <c r="J3211" s="465">
        <v>11.006679999999999</v>
      </c>
      <c r="K3211" s="465">
        <v>1275.7127599999999</v>
      </c>
      <c r="L3211" s="464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maska Elegant II 1,7m biela lesk</v>
      </c>
      <c r="C3212" s="185">
        <f t="shared" si="101"/>
        <v>3.3308900000000001</v>
      </c>
      <c r="D3212" s="409" t="s">
        <v>3333</v>
      </c>
      <c r="E3212" s="409" t="s">
        <v>3610</v>
      </c>
      <c r="F3212" s="409" t="s">
        <v>3611</v>
      </c>
      <c r="G3212" s="409" t="s">
        <v>3612</v>
      </c>
      <c r="H3212" s="465">
        <v>92.639750000000006</v>
      </c>
      <c r="I3212" s="465">
        <v>3.3308900000000001</v>
      </c>
      <c r="J3212" s="465">
        <v>12.199199999999999</v>
      </c>
      <c r="K3212" s="465">
        <v>1327.57123</v>
      </c>
      <c r="L3212" s="464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maska Elegant II 1,7m strieborná</v>
      </c>
      <c r="C3213" s="185">
        <f t="shared" si="101"/>
        <v>2.5762399999999999</v>
      </c>
      <c r="D3213" s="409" t="s">
        <v>3334</v>
      </c>
      <c r="E3213" s="409" t="s">
        <v>5429</v>
      </c>
      <c r="F3213" s="409" t="s">
        <v>5430</v>
      </c>
      <c r="G3213" s="409" t="s">
        <v>2379</v>
      </c>
      <c r="H3213" s="465">
        <v>71.651049999999998</v>
      </c>
      <c r="I3213" s="465">
        <v>2.5762399999999999</v>
      </c>
      <c r="J3213" s="465">
        <v>9.3840000000000003</v>
      </c>
      <c r="K3213" s="465">
        <v>1026.7933499999999</v>
      </c>
      <c r="L3213" s="464" t="s">
        <v>695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maska Elegant II 2,35m oliva</v>
      </c>
      <c r="C3214" s="185">
        <f t="shared" si="101"/>
        <v>4.4238400000000002</v>
      </c>
      <c r="D3214" s="409" t="s">
        <v>3335</v>
      </c>
      <c r="E3214" s="409" t="s">
        <v>5433</v>
      </c>
      <c r="F3214" s="409" t="s">
        <v>3335</v>
      </c>
      <c r="G3214" s="409" t="s">
        <v>5434</v>
      </c>
      <c r="H3214" s="465">
        <v>123.03716</v>
      </c>
      <c r="I3214" s="465">
        <v>4.4238400000000002</v>
      </c>
      <c r="J3214" s="465">
        <v>15.21246</v>
      </c>
      <c r="K3214" s="465">
        <v>1763.1804299999999</v>
      </c>
      <c r="L3214" s="464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maska Elegant II 2,35m biela lesk</v>
      </c>
      <c r="C3215" s="185">
        <f t="shared" si="101"/>
        <v>4.6059999999999999</v>
      </c>
      <c r="D3215" s="409" t="s">
        <v>3336</v>
      </c>
      <c r="E3215" s="409" t="s">
        <v>3698</v>
      </c>
      <c r="F3215" s="409" t="s">
        <v>3699</v>
      </c>
      <c r="G3215" s="409" t="s">
        <v>3700</v>
      </c>
      <c r="H3215" s="465">
        <v>128.10339999999999</v>
      </c>
      <c r="I3215" s="465">
        <v>4.6059999999999999</v>
      </c>
      <c r="J3215" s="465">
        <v>16.870799999999999</v>
      </c>
      <c r="K3215" s="465">
        <v>1835.78208</v>
      </c>
      <c r="L3215" s="464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maska Elegant II 2,35m strieborná</v>
      </c>
      <c r="C3216" s="185">
        <f t="shared" si="101"/>
        <v>3.5390700000000002</v>
      </c>
      <c r="D3216" s="409" t="s">
        <v>3337</v>
      </c>
      <c r="E3216" s="409" t="s">
        <v>5435</v>
      </c>
      <c r="F3216" s="409" t="s">
        <v>5436</v>
      </c>
      <c r="G3216" s="409" t="s">
        <v>5437</v>
      </c>
      <c r="H3216" s="465">
        <v>98.429739999999995</v>
      </c>
      <c r="I3216" s="465">
        <v>3.5390700000000002</v>
      </c>
      <c r="J3216" s="465">
        <v>12.9846</v>
      </c>
      <c r="K3216" s="465">
        <v>1410.5445099999999</v>
      </c>
      <c r="L3216" s="464" t="s">
        <v>695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tlmič dorazu Mini SV25 (14-25kg)</v>
      </c>
      <c r="C3217" s="185">
        <f t="shared" si="101"/>
        <v>22.951930000000001</v>
      </c>
      <c r="D3217" s="409" t="s">
        <v>4590</v>
      </c>
      <c r="E3217" s="409" t="s">
        <v>4591</v>
      </c>
      <c r="F3217" s="409" t="s">
        <v>4592</v>
      </c>
      <c r="G3217" s="409" t="s">
        <v>4593</v>
      </c>
      <c r="H3217" s="465">
        <v>677.38124000000005</v>
      </c>
      <c r="I3217" s="465">
        <v>22.951930000000001</v>
      </c>
      <c r="J3217" s="465">
        <v>96.889799999999994</v>
      </c>
      <c r="K3217" s="465">
        <v>9407.0440500000004</v>
      </c>
      <c r="L3217" s="464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tlmič Central 10/18mm obojstranný 25kg</v>
      </c>
      <c r="C3218" s="185">
        <f t="shared" si="101"/>
        <v>49.156689999999998</v>
      </c>
      <c r="D3218" s="409" t="s">
        <v>3338</v>
      </c>
      <c r="E3218" s="409" t="s">
        <v>4963</v>
      </c>
      <c r="F3218" s="409" t="s">
        <v>4964</v>
      </c>
      <c r="G3218" s="409" t="s">
        <v>4965</v>
      </c>
      <c r="H3218" s="465">
        <v>1450.76324</v>
      </c>
      <c r="I3218" s="465">
        <v>49.156689999999998</v>
      </c>
      <c r="J3218" s="465">
        <v>206.958</v>
      </c>
      <c r="K3218" s="465">
        <v>20147.28615</v>
      </c>
      <c r="L3218" s="464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spodné vedenie 1,7m oliva</v>
      </c>
      <c r="C3219" s="185">
        <f t="shared" si="101"/>
        <v>10.39603</v>
      </c>
      <c r="D3219" s="409" t="s">
        <v>3339</v>
      </c>
      <c r="E3219" s="409" t="s">
        <v>5151</v>
      </c>
      <c r="F3219" s="409" t="s">
        <v>5152</v>
      </c>
      <c r="G3219" s="409" t="s">
        <v>5153</v>
      </c>
      <c r="H3219" s="465">
        <v>289.49919</v>
      </c>
      <c r="I3219" s="465">
        <v>10.39603</v>
      </c>
      <c r="J3219" s="465">
        <v>39.086399999999998</v>
      </c>
      <c r="K3219" s="465">
        <v>4148.6598199999999</v>
      </c>
      <c r="L3219" s="464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str">
        <f t="shared" si="100"/>
        <v/>
      </c>
      <c r="C3220" s="185" t="e">
        <f t="shared" si="101"/>
        <v>#N/A</v>
      </c>
      <c r="D3220" s="409" t="s">
        <v>1405</v>
      </c>
      <c r="E3220" s="409" t="s">
        <v>68</v>
      </c>
      <c r="F3220" s="409" t="s">
        <v>68</v>
      </c>
      <c r="G3220" s="409" t="s">
        <v>68</v>
      </c>
      <c r="H3220" s="465" t="e">
        <v>#N/A</v>
      </c>
      <c r="I3220" s="465" t="e">
        <v>#N/A</v>
      </c>
      <c r="J3220" s="465" t="e">
        <v>#N/A</v>
      </c>
      <c r="K3220" s="465" t="e">
        <v>#N/A</v>
      </c>
      <c r="L3220" s="464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spodný vozík WD10 V 2ks bez pozicionéru</v>
      </c>
      <c r="C3221" s="185">
        <f t="shared" si="101"/>
        <v>6.0112199999999998</v>
      </c>
      <c r="D3221" s="409" t="s">
        <v>3340</v>
      </c>
      <c r="E3221" s="409" t="s">
        <v>5568</v>
      </c>
      <c r="F3221" s="409" t="s">
        <v>5569</v>
      </c>
      <c r="G3221" s="409" t="s">
        <v>5570</v>
      </c>
      <c r="H3221" s="465">
        <v>177.40937</v>
      </c>
      <c r="I3221" s="465">
        <v>6.0112199999999998</v>
      </c>
      <c r="J3221" s="465">
        <v>26.52</v>
      </c>
      <c r="K3221" s="465">
        <v>2463.7496099999998</v>
      </c>
      <c r="L3221" s="464" t="s">
        <v>695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/>
      </c>
      <c r="C3222" s="185">
        <f t="shared" si="101"/>
        <v>0</v>
      </c>
      <c r="D3222" s="409" t="s">
        <v>1076</v>
      </c>
      <c r="E3222" s="409" t="s">
        <v>5714</v>
      </c>
      <c r="F3222" s="409" t="s">
        <v>68</v>
      </c>
      <c r="G3222" s="409" t="s">
        <v>5715</v>
      </c>
      <c r="H3222" s="465">
        <v>0</v>
      </c>
      <c r="I3222" s="465">
        <v>0</v>
      </c>
      <c r="J3222" s="465">
        <v>0</v>
      </c>
      <c r="K3222" s="465">
        <v>0</v>
      </c>
      <c r="L3222" s="464" t="s">
        <v>540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/>
      </c>
      <c r="C3223" s="185">
        <f t="shared" si="101"/>
        <v>3.9899900000000001</v>
      </c>
      <c r="D3223" s="409" t="s">
        <v>1275</v>
      </c>
      <c r="E3223" s="409" t="s">
        <v>1727</v>
      </c>
      <c r="F3223" s="409" t="s">
        <v>68</v>
      </c>
      <c r="G3223" s="409" t="s">
        <v>2311</v>
      </c>
      <c r="H3223" s="465">
        <v>260.96474000000001</v>
      </c>
      <c r="I3223" s="465">
        <v>3.9899900000000001</v>
      </c>
      <c r="J3223" s="465">
        <v>34.988689999999998</v>
      </c>
      <c r="K3223" s="465">
        <v>3878.1701699999999</v>
      </c>
      <c r="L3223" s="464" t="s">
        <v>541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spojovacia lišta Simple/Blue H28 3m (pre lamino 18mm) strieborná</v>
      </c>
      <c r="C3224" s="185">
        <f t="shared" si="101"/>
        <v>19.829219999999999</v>
      </c>
      <c r="D3224" s="409" t="s">
        <v>3341</v>
      </c>
      <c r="E3224" s="409" t="s">
        <v>4554</v>
      </c>
      <c r="F3224" s="409" t="s">
        <v>4555</v>
      </c>
      <c r="G3224" s="409" t="s">
        <v>4556</v>
      </c>
      <c r="H3224" s="465">
        <v>545.54456000000005</v>
      </c>
      <c r="I3224" s="465">
        <v>19.829219999999999</v>
      </c>
      <c r="J3224" s="465">
        <v>70.338160000000002</v>
      </c>
      <c r="K3224" s="465">
        <v>8063.1805999999997</v>
      </c>
      <c r="L3224" s="464" t="s">
        <v>695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spodné vedenie 6m zlatá</v>
      </c>
      <c r="C3225" s="185">
        <f t="shared" si="101"/>
        <v>36.691870000000002</v>
      </c>
      <c r="D3225" s="409" t="s">
        <v>3342</v>
      </c>
      <c r="E3225" s="409" t="s">
        <v>4825</v>
      </c>
      <c r="F3225" s="409" t="s">
        <v>4826</v>
      </c>
      <c r="G3225" s="409" t="s">
        <v>4827</v>
      </c>
      <c r="H3225" s="465">
        <v>1020.48465</v>
      </c>
      <c r="I3225" s="465">
        <v>36.691870000000002</v>
      </c>
      <c r="J3225" s="465">
        <v>137.86320000000001</v>
      </c>
      <c r="K3225" s="465">
        <v>14624.02583</v>
      </c>
      <c r="L3225" s="464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str">
        <f t="shared" si="100"/>
        <v>K-SEVROLL sp.vozík V 10mm+mont.prípr.zadarmo</v>
      </c>
      <c r="C3226" s="185" t="e">
        <f t="shared" si="101"/>
        <v>#N/A</v>
      </c>
      <c r="D3226" s="409" t="s">
        <v>1072</v>
      </c>
      <c r="E3226" s="409" t="s">
        <v>5710</v>
      </c>
      <c r="F3226" s="409" t="s">
        <v>1073</v>
      </c>
      <c r="G3226" s="409" t="s">
        <v>5711</v>
      </c>
      <c r="H3226" s="465" t="e">
        <v>#N/A</v>
      </c>
      <c r="I3226" s="465" t="e">
        <v>#N/A</v>
      </c>
      <c r="J3226" s="465" t="e">
        <v>#N/A</v>
      </c>
      <c r="K3226" s="465" t="e">
        <v>#N/A</v>
      </c>
      <c r="L3226" s="464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str">
        <f t="shared" si="100"/>
        <v>K-SEVROLL sp.vozík V 10mm+Fix+vrták zadarmo</v>
      </c>
      <c r="C3227" s="185" t="e">
        <f t="shared" si="101"/>
        <v>#N/A</v>
      </c>
      <c r="D3227" s="409" t="s">
        <v>1074</v>
      </c>
      <c r="E3227" s="409" t="s">
        <v>5712</v>
      </c>
      <c r="F3227" s="409" t="s">
        <v>1075</v>
      </c>
      <c r="G3227" s="409" t="s">
        <v>5713</v>
      </c>
      <c r="H3227" s="465" t="e">
        <v>#N/A</v>
      </c>
      <c r="I3227" s="465" t="e">
        <v>#N/A</v>
      </c>
      <c r="J3227" s="465" t="e">
        <v>#N/A</v>
      </c>
      <c r="K3227" s="465" t="e">
        <v>#N/A</v>
      </c>
      <c r="L3227" s="464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úchytová lišta 2,7m strieborná</v>
      </c>
      <c r="C3228" s="185">
        <f t="shared" si="101"/>
        <v>23.446359999999999</v>
      </c>
      <c r="D3228" s="409" t="s">
        <v>1441</v>
      </c>
      <c r="E3228" s="409" t="s">
        <v>1877</v>
      </c>
      <c r="F3228" s="409" t="s">
        <v>5913</v>
      </c>
      <c r="G3228" s="409" t="s">
        <v>2415</v>
      </c>
      <c r="H3228" s="465">
        <v>652.09693000000004</v>
      </c>
      <c r="I3228" s="465">
        <v>23.446359999999999</v>
      </c>
      <c r="J3228" s="465">
        <v>89.892600000000002</v>
      </c>
      <c r="K3228" s="465">
        <v>9344.8561699999991</v>
      </c>
      <c r="L3228" s="464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horná vodiaca lišta 3m strieborná</v>
      </c>
      <c r="C3229" s="185">
        <f t="shared" si="101"/>
        <v>26.90737</v>
      </c>
      <c r="D3229" s="409" t="s">
        <v>1442</v>
      </c>
      <c r="E3229" s="409" t="s">
        <v>1878</v>
      </c>
      <c r="F3229" s="409" t="s">
        <v>5914</v>
      </c>
      <c r="G3229" s="409" t="s">
        <v>2416</v>
      </c>
      <c r="H3229" s="465">
        <v>748.35540000000003</v>
      </c>
      <c r="I3229" s="465">
        <v>26.90737</v>
      </c>
      <c r="J3229" s="465">
        <v>103.20359999999999</v>
      </c>
      <c r="K3229" s="465">
        <v>10724.285449999999</v>
      </c>
      <c r="L3229" s="464" t="s">
        <v>539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Pax XL spodná krycia lišta 3m 4mm strieborná</v>
      </c>
      <c r="C3230" s="185">
        <f t="shared" si="101"/>
        <v>29.09327</v>
      </c>
      <c r="D3230" s="409" t="s">
        <v>3343</v>
      </c>
      <c r="E3230" s="409" t="s">
        <v>1879</v>
      </c>
      <c r="F3230" s="409" t="s">
        <v>5915</v>
      </c>
      <c r="G3230" s="409" t="s">
        <v>2417</v>
      </c>
      <c r="H3230" s="465">
        <v>809.15025000000003</v>
      </c>
      <c r="I3230" s="465">
        <v>29.09327</v>
      </c>
      <c r="J3230" s="465">
        <v>111.6186</v>
      </c>
      <c r="K3230" s="465">
        <v>11595.50424</v>
      </c>
      <c r="L3230" s="464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tesnenie pre profil Pax XL</v>
      </c>
      <c r="C3231" s="185">
        <f t="shared" si="101"/>
        <v>0.59852000000000005</v>
      </c>
      <c r="D3231" s="409" t="s">
        <v>1443</v>
      </c>
      <c r="E3231" s="409" t="s">
        <v>1880</v>
      </c>
      <c r="F3231" s="409" t="s">
        <v>5916</v>
      </c>
      <c r="G3231" s="409" t="s">
        <v>2418</v>
      </c>
      <c r="H3231" s="465">
        <v>17.66413</v>
      </c>
      <c r="I3231" s="465">
        <v>0.59852000000000005</v>
      </c>
      <c r="J3231" s="465">
        <v>2.1318000000000001</v>
      </c>
      <c r="K3231" s="465">
        <v>245.3083</v>
      </c>
      <c r="L3231" s="464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spojovacia lišta Simple/Blue H21 3m (pre lamino 18mm) strieborná</v>
      </c>
      <c r="C3232" s="185">
        <f t="shared" si="101"/>
        <v>11.423920000000001</v>
      </c>
      <c r="D3232" s="409" t="s">
        <v>3344</v>
      </c>
      <c r="E3232" s="409" t="s">
        <v>4174</v>
      </c>
      <c r="F3232" s="409" t="s">
        <v>4175</v>
      </c>
      <c r="G3232" s="409" t="s">
        <v>4176</v>
      </c>
      <c r="H3232" s="465">
        <v>314.29667999999998</v>
      </c>
      <c r="I3232" s="465">
        <v>11.423920000000001</v>
      </c>
      <c r="J3232" s="465">
        <v>46.268070000000002</v>
      </c>
      <c r="K3232" s="465">
        <v>4645.3233</v>
      </c>
      <c r="L3232" s="464" t="s">
        <v>695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/>
      </c>
      <c r="C3233" s="185">
        <f t="shared" si="101"/>
        <v>0</v>
      </c>
      <c r="D3233" s="409" t="s">
        <v>1540</v>
      </c>
      <c r="E3233" s="409" t="s">
        <v>1968</v>
      </c>
      <c r="F3233" s="409" t="s">
        <v>68</v>
      </c>
      <c r="G3233" s="409" t="s">
        <v>2478</v>
      </c>
      <c r="H3233" s="465">
        <v>0</v>
      </c>
      <c r="I3233" s="465">
        <v>0</v>
      </c>
      <c r="J3233" s="465">
        <v>0</v>
      </c>
      <c r="K3233" s="465">
        <v>0</v>
      </c>
      <c r="L3233" s="464" t="s">
        <v>540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úchytová lišta 18mm 2,70m strieborná</v>
      </c>
      <c r="C3234" s="185">
        <f t="shared" si="101"/>
        <v>12.464829999999999</v>
      </c>
      <c r="D3234" s="409" t="s">
        <v>3345</v>
      </c>
      <c r="E3234" s="409" t="s">
        <v>4220</v>
      </c>
      <c r="F3234" s="409" t="s">
        <v>4221</v>
      </c>
      <c r="G3234" s="409" t="s">
        <v>4222</v>
      </c>
      <c r="H3234" s="465">
        <v>342.93419</v>
      </c>
      <c r="I3234" s="465">
        <v>12.464829999999999</v>
      </c>
      <c r="J3234" s="465">
        <v>51.239409999999999</v>
      </c>
      <c r="K3234" s="465">
        <v>5068.5873600000004</v>
      </c>
      <c r="L3234" s="464" t="s">
        <v>695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úchytová lišta 18mm 2,70m oliva</v>
      </c>
      <c r="C3235" s="185">
        <f t="shared" si="101"/>
        <v>15.587540000000001</v>
      </c>
      <c r="D3235" s="409" t="s">
        <v>3346</v>
      </c>
      <c r="E3235" s="409" t="s">
        <v>5474</v>
      </c>
      <c r="F3235" s="409" t="s">
        <v>3346</v>
      </c>
      <c r="G3235" s="409" t="s">
        <v>5475</v>
      </c>
      <c r="H3235" s="465">
        <v>428.84672</v>
      </c>
      <c r="I3235" s="465">
        <v>15.587540000000001</v>
      </c>
      <c r="J3235" s="465">
        <v>58.838009999999997</v>
      </c>
      <c r="K3235" s="465">
        <v>6338.3796000000002</v>
      </c>
      <c r="L3235" s="464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brzda (2ks v balení)</v>
      </c>
      <c r="C3236" s="185">
        <f t="shared" si="101"/>
        <v>0.59852000000000005</v>
      </c>
      <c r="D3236" s="409" t="s">
        <v>3347</v>
      </c>
      <c r="E3236" s="409" t="s">
        <v>6205</v>
      </c>
      <c r="F3236" s="409" t="s">
        <v>3347</v>
      </c>
      <c r="G3236" s="409" t="s">
        <v>6206</v>
      </c>
      <c r="H3236" s="465">
        <v>16.6462</v>
      </c>
      <c r="I3236" s="465">
        <v>0.59852000000000005</v>
      </c>
      <c r="J3236" s="465">
        <v>2.1215999999999999</v>
      </c>
      <c r="K3236" s="465">
        <v>238.54783</v>
      </c>
      <c r="L3236" s="464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sada kovania pre tlmič Mini</v>
      </c>
      <c r="C3237" s="185">
        <f t="shared" si="101"/>
        <v>2.0818099999999999</v>
      </c>
      <c r="D3237" s="409" t="s">
        <v>1530</v>
      </c>
      <c r="E3237" s="409" t="s">
        <v>1960</v>
      </c>
      <c r="F3237" s="409" t="s">
        <v>6032</v>
      </c>
      <c r="G3237" s="409" t="s">
        <v>6033</v>
      </c>
      <c r="H3237" s="465">
        <v>61.440480000000001</v>
      </c>
      <c r="I3237" s="465">
        <v>2.0818099999999999</v>
      </c>
      <c r="J3237" s="465">
        <v>6.9930000000000003</v>
      </c>
      <c r="K3237" s="465">
        <v>853.24662999999998</v>
      </c>
      <c r="L3237" s="464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/>
      </c>
      <c r="C3238" s="185">
        <f t="shared" si="101"/>
        <v>2.2679999999999999E-2</v>
      </c>
      <c r="D3238" s="409" t="s">
        <v>1531</v>
      </c>
      <c r="E3238" s="409" t="s">
        <v>68</v>
      </c>
      <c r="F3238" s="409" t="s">
        <v>68</v>
      </c>
      <c r="G3238" s="409" t="s">
        <v>68</v>
      </c>
      <c r="H3238" s="465">
        <v>0</v>
      </c>
      <c r="I3238" s="465">
        <v>2.2679999999999999E-2</v>
      </c>
      <c r="J3238" s="465">
        <v>0</v>
      </c>
      <c r="K3238" s="465">
        <v>0</v>
      </c>
      <c r="L3238" s="464" t="s">
        <v>540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sada kovania pre dvojo dverí</v>
      </c>
      <c r="C3239" s="185">
        <f t="shared" si="101"/>
        <v>46.866700000000002</v>
      </c>
      <c r="D3239" s="409" t="s">
        <v>1506</v>
      </c>
      <c r="E3239" s="409" t="s">
        <v>1934</v>
      </c>
      <c r="F3239" s="409" t="s">
        <v>6008</v>
      </c>
      <c r="G3239" s="409" t="s">
        <v>2358</v>
      </c>
      <c r="H3239" s="465">
        <v>1303.47011</v>
      </c>
      <c r="I3239" s="465">
        <v>46.866700000000002</v>
      </c>
      <c r="J3239" s="465">
        <v>161.16269</v>
      </c>
      <c r="K3239" s="465">
        <v>18679.34074</v>
      </c>
      <c r="L3239" s="464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sada kovania pre vnútorné dvere</v>
      </c>
      <c r="C3240" s="185">
        <f t="shared" si="101"/>
        <v>23.16011</v>
      </c>
      <c r="D3240" s="409" t="s">
        <v>1507</v>
      </c>
      <c r="E3240" s="409" t="s">
        <v>1935</v>
      </c>
      <c r="F3240" s="409" t="s">
        <v>6009</v>
      </c>
      <c r="G3240" s="409" t="s">
        <v>2454</v>
      </c>
      <c r="H3240" s="465">
        <v>644.13570000000004</v>
      </c>
      <c r="I3240" s="465">
        <v>23.16011</v>
      </c>
      <c r="J3240" s="465">
        <v>79.641750000000002</v>
      </c>
      <c r="K3240" s="465">
        <v>9230.7680799999998</v>
      </c>
      <c r="L3240" s="464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horné vedenie  1,7m strieborná</v>
      </c>
      <c r="C3241" s="185">
        <f t="shared" si="101"/>
        <v>8.1450700000000005</v>
      </c>
      <c r="D3241" s="409" t="s">
        <v>1508</v>
      </c>
      <c r="E3241" s="409" t="s">
        <v>1936</v>
      </c>
      <c r="F3241" s="409" t="s">
        <v>6010</v>
      </c>
      <c r="G3241" s="409" t="s">
        <v>2455</v>
      </c>
      <c r="H3241" s="465">
        <v>226.53310999999999</v>
      </c>
      <c r="I3241" s="465">
        <v>8.1450700000000005</v>
      </c>
      <c r="J3241" s="465">
        <v>28.008849999999999</v>
      </c>
      <c r="K3241" s="465">
        <v>3246.3261900000002</v>
      </c>
      <c r="L3241" s="464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horné vedenie 1,7m biela lesk</v>
      </c>
      <c r="C3242" s="185">
        <f t="shared" si="101"/>
        <v>10.591200000000001</v>
      </c>
      <c r="D3242" s="409" t="s">
        <v>1509</v>
      </c>
      <c r="E3242" s="409" t="s">
        <v>1937</v>
      </c>
      <c r="F3242" s="409" t="s">
        <v>6011</v>
      </c>
      <c r="G3242" s="409" t="s">
        <v>2456</v>
      </c>
      <c r="H3242" s="465">
        <v>294.56544000000002</v>
      </c>
      <c r="I3242" s="465">
        <v>10.591200000000001</v>
      </c>
      <c r="J3242" s="465">
        <v>36.420439999999999</v>
      </c>
      <c r="K3242" s="465">
        <v>4221.2614700000004</v>
      </c>
      <c r="L3242" s="464" t="s">
        <v>539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horné vedenie  2,35m strieborná</v>
      </c>
      <c r="C3243" s="185">
        <f t="shared" si="101"/>
        <v>11.241759999999999</v>
      </c>
      <c r="D3243" s="409" t="s">
        <v>1510</v>
      </c>
      <c r="E3243" s="409" t="s">
        <v>1938</v>
      </c>
      <c r="F3243" s="409" t="s">
        <v>6012</v>
      </c>
      <c r="G3243" s="409" t="s">
        <v>2357</v>
      </c>
      <c r="H3243" s="465">
        <v>312.65911999999997</v>
      </c>
      <c r="I3243" s="465">
        <v>11.241759999999999</v>
      </c>
      <c r="J3243" s="465">
        <v>38.65757</v>
      </c>
      <c r="K3243" s="465">
        <v>4480.5525100000004</v>
      </c>
      <c r="L3243" s="464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horné vedenie 2,35 m biela lesk</v>
      </c>
      <c r="C3244" s="185">
        <f t="shared" si="101"/>
        <v>14.624700000000001</v>
      </c>
      <c r="D3244" s="409" t="s">
        <v>1511</v>
      </c>
      <c r="E3244" s="409" t="s">
        <v>1939</v>
      </c>
      <c r="F3244" s="409" t="s">
        <v>6013</v>
      </c>
      <c r="G3244" s="409" t="s">
        <v>2457</v>
      </c>
      <c r="H3244" s="465">
        <v>406.74635999999998</v>
      </c>
      <c r="I3244" s="465">
        <v>14.624700000000001</v>
      </c>
      <c r="J3244" s="465">
        <v>50.290640000000003</v>
      </c>
      <c r="K3244" s="465">
        <v>5828.8669499999996</v>
      </c>
      <c r="L3244" s="464" t="s">
        <v>539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horné vedenie  3m strieborná</v>
      </c>
      <c r="C3245" s="185">
        <f t="shared" si="101"/>
        <v>14.36448</v>
      </c>
      <c r="D3245" s="409" t="s">
        <v>1512</v>
      </c>
      <c r="E3245" s="409" t="s">
        <v>1940</v>
      </c>
      <c r="F3245" s="409" t="s">
        <v>6014</v>
      </c>
      <c r="G3245" s="409" t="s">
        <v>2458</v>
      </c>
      <c r="H3245" s="465">
        <v>399.50887999999998</v>
      </c>
      <c r="I3245" s="465">
        <v>14.36448</v>
      </c>
      <c r="J3245" s="465">
        <v>49.395780000000002</v>
      </c>
      <c r="K3245" s="465">
        <v>5725.1504599999998</v>
      </c>
      <c r="L3245" s="464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horné vedenie 3m biela lesk</v>
      </c>
      <c r="C3246" s="185">
        <f t="shared" si="101"/>
        <v>18.684229999999999</v>
      </c>
      <c r="D3246" s="409" t="s">
        <v>1513</v>
      </c>
      <c r="E3246" s="409" t="s">
        <v>1941</v>
      </c>
      <c r="F3246" s="409" t="s">
        <v>6015</v>
      </c>
      <c r="G3246" s="409" t="s">
        <v>2459</v>
      </c>
      <c r="H3246" s="465">
        <v>519.65106000000003</v>
      </c>
      <c r="I3246" s="465">
        <v>18.684229999999999</v>
      </c>
      <c r="J3246" s="465">
        <v>64.250320000000002</v>
      </c>
      <c r="K3246" s="465">
        <v>7446.8444200000004</v>
      </c>
      <c r="L3246" s="464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horné vedenie 6m strieborná</v>
      </c>
      <c r="C3247" s="185">
        <f t="shared" si="101"/>
        <v>28.728950000000001</v>
      </c>
      <c r="D3247" s="409" t="s">
        <v>1514</v>
      </c>
      <c r="E3247" s="409" t="s">
        <v>1942</v>
      </c>
      <c r="F3247" s="409" t="s">
        <v>6016</v>
      </c>
      <c r="G3247" s="409" t="s">
        <v>2460</v>
      </c>
      <c r="H3247" s="465">
        <v>799.01775999999995</v>
      </c>
      <c r="I3247" s="465">
        <v>28.728950000000001</v>
      </c>
      <c r="J3247" s="465">
        <v>98.791579999999996</v>
      </c>
      <c r="K3247" s="465">
        <v>11450.30092</v>
      </c>
      <c r="L3247" s="464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horné vedenie 6m biela lesk</v>
      </c>
      <c r="C3248" s="185">
        <f t="shared" si="101"/>
        <v>37.34243</v>
      </c>
      <c r="D3248" s="409" t="s">
        <v>1515</v>
      </c>
      <c r="E3248" s="409" t="s">
        <v>1943</v>
      </c>
      <c r="F3248" s="409" t="s">
        <v>6017</v>
      </c>
      <c r="G3248" s="409" t="s">
        <v>2461</v>
      </c>
      <c r="H3248" s="465">
        <v>1038.5783699999999</v>
      </c>
      <c r="I3248" s="465">
        <v>37.34243</v>
      </c>
      <c r="J3248" s="465">
        <v>128.41116</v>
      </c>
      <c r="K3248" s="465">
        <v>14883.31726</v>
      </c>
      <c r="L3248" s="464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horizontálna lišta 1,7m strieborná</v>
      </c>
      <c r="C3249" s="185">
        <f t="shared" si="101"/>
        <v>22.01512</v>
      </c>
      <c r="D3249" s="409" t="s">
        <v>1516</v>
      </c>
      <c r="E3249" s="409" t="s">
        <v>1944</v>
      </c>
      <c r="F3249" s="409" t="s">
        <v>6018</v>
      </c>
      <c r="G3249" s="409" t="s">
        <v>2462</v>
      </c>
      <c r="H3249" s="465">
        <v>612.29079999999999</v>
      </c>
      <c r="I3249" s="465">
        <v>22.01512</v>
      </c>
      <c r="J3249" s="465">
        <v>75.704419999999999</v>
      </c>
      <c r="K3249" s="465">
        <v>8774.4156500000008</v>
      </c>
      <c r="L3249" s="464" t="s">
        <v>539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horizontálna lišta 1,7m strieborná</v>
      </c>
      <c r="C3250" s="185">
        <f t="shared" si="101"/>
        <v>24.513290000000001</v>
      </c>
      <c r="D3250" s="409" t="s">
        <v>1517</v>
      </c>
      <c r="E3250" s="409" t="s">
        <v>1945</v>
      </c>
      <c r="F3250" s="409" t="s">
        <v>6019</v>
      </c>
      <c r="G3250" s="409" t="s">
        <v>2463</v>
      </c>
      <c r="H3250" s="465">
        <v>681.77058999999997</v>
      </c>
      <c r="I3250" s="465">
        <v>24.513290000000001</v>
      </c>
      <c r="J3250" s="465">
        <v>84.294979999999995</v>
      </c>
      <c r="K3250" s="465">
        <v>9770.0937699999995</v>
      </c>
      <c r="L3250" s="464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horizontálna lišta 1,7m biela lesk</v>
      </c>
      <c r="C3251" s="185">
        <f t="shared" si="101"/>
        <v>31.877690000000001</v>
      </c>
      <c r="D3251" s="409" t="s">
        <v>1518</v>
      </c>
      <c r="E3251" s="409" t="s">
        <v>1946</v>
      </c>
      <c r="F3251" s="409" t="s">
        <v>6020</v>
      </c>
      <c r="G3251" s="409" t="s">
        <v>2464</v>
      </c>
      <c r="H3251" s="465">
        <v>886.59128999999996</v>
      </c>
      <c r="I3251" s="465">
        <v>31.877690000000001</v>
      </c>
      <c r="J3251" s="465">
        <v>109.61927</v>
      </c>
      <c r="K3251" s="465">
        <v>12705.27087</v>
      </c>
      <c r="L3251" s="464" t="s">
        <v>539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horizontálna lišta 1,7m biela lesk</v>
      </c>
      <c r="C3252" s="185">
        <f t="shared" si="101"/>
        <v>28.624860000000002</v>
      </c>
      <c r="D3252" s="409" t="s">
        <v>1519</v>
      </c>
      <c r="E3252" s="409" t="s">
        <v>1947</v>
      </c>
      <c r="F3252" s="409" t="s">
        <v>6021</v>
      </c>
      <c r="G3252" s="409" t="s">
        <v>2465</v>
      </c>
      <c r="H3252" s="465">
        <v>796.12278000000003</v>
      </c>
      <c r="I3252" s="465">
        <v>28.624860000000002</v>
      </c>
      <c r="J3252" s="465">
        <v>98.433639999999997</v>
      </c>
      <c r="K3252" s="465">
        <v>11408.814479999999</v>
      </c>
      <c r="L3252" s="464" t="s">
        <v>539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horizontálna lišta 2,35 m biela lesk</v>
      </c>
      <c r="C3253" s="185">
        <f t="shared" si="101"/>
        <v>39.554349999999999</v>
      </c>
      <c r="D3253" s="409" t="s">
        <v>1520</v>
      </c>
      <c r="E3253" s="409" t="s">
        <v>1948</v>
      </c>
      <c r="F3253" s="409" t="s">
        <v>6022</v>
      </c>
      <c r="G3253" s="409" t="s">
        <v>2466</v>
      </c>
      <c r="H3253" s="465">
        <v>1100.0969299999999</v>
      </c>
      <c r="I3253" s="465">
        <v>39.554349999999999</v>
      </c>
      <c r="J3253" s="465">
        <v>136.01739000000001</v>
      </c>
      <c r="K3253" s="465">
        <v>15764.90727</v>
      </c>
      <c r="L3253" s="464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horizontálna lišta 2,35 m biela lesk</v>
      </c>
      <c r="C3254" s="185">
        <f t="shared" si="101"/>
        <v>44.056260000000002</v>
      </c>
      <c r="D3254" s="409" t="s">
        <v>1521</v>
      </c>
      <c r="E3254" s="409" t="s">
        <v>1949</v>
      </c>
      <c r="F3254" s="409" t="s">
        <v>6023</v>
      </c>
      <c r="G3254" s="409" t="s">
        <v>2467</v>
      </c>
      <c r="H3254" s="465">
        <v>1225.3053199999999</v>
      </c>
      <c r="I3254" s="465">
        <v>44.056260000000002</v>
      </c>
      <c r="J3254" s="465">
        <v>151.49831</v>
      </c>
      <c r="K3254" s="465">
        <v>17559.202509999999</v>
      </c>
      <c r="L3254" s="464" t="s">
        <v>539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horizontálna lišta 2,35m strieborná</v>
      </c>
      <c r="C3255" s="185">
        <f t="shared" si="101"/>
        <v>33.881430000000002</v>
      </c>
      <c r="D3255" s="409" t="s">
        <v>1522</v>
      </c>
      <c r="E3255" s="409" t="s">
        <v>1950</v>
      </c>
      <c r="F3255" s="409" t="s">
        <v>6024</v>
      </c>
      <c r="G3255" s="409" t="s">
        <v>2468</v>
      </c>
      <c r="H3255" s="465">
        <v>942.31985999999995</v>
      </c>
      <c r="I3255" s="465">
        <v>33.881430000000002</v>
      </c>
      <c r="J3255" s="465">
        <v>116.50963</v>
      </c>
      <c r="K3255" s="465">
        <v>13503.8876</v>
      </c>
      <c r="L3255" s="464" t="s">
        <v>539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horizontálna lišta 2,35m strieborná</v>
      </c>
      <c r="C3256" s="185">
        <f t="shared" si="101"/>
        <v>30.42042</v>
      </c>
      <c r="D3256" s="409" t="s">
        <v>1523</v>
      </c>
      <c r="E3256" s="409" t="s">
        <v>1951</v>
      </c>
      <c r="F3256" s="409" t="s">
        <v>6025</v>
      </c>
      <c r="G3256" s="409" t="s">
        <v>2469</v>
      </c>
      <c r="H3256" s="465">
        <v>846.06138999999996</v>
      </c>
      <c r="I3256" s="465">
        <v>30.42042</v>
      </c>
      <c r="J3256" s="465">
        <v>104.60811</v>
      </c>
      <c r="K3256" s="465">
        <v>12124.45832</v>
      </c>
      <c r="L3256" s="464" t="s">
        <v>539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horizontálna lišta 3m strieborná</v>
      </c>
      <c r="C3257" s="185">
        <f t="shared" si="101"/>
        <v>38.825719999999997</v>
      </c>
      <c r="D3257" s="409" t="s">
        <v>1524</v>
      </c>
      <c r="E3257" s="409" t="s">
        <v>1952</v>
      </c>
      <c r="F3257" s="409" t="s">
        <v>6026</v>
      </c>
      <c r="G3257" s="409" t="s">
        <v>2470</v>
      </c>
      <c r="H3257" s="465">
        <v>1079.8319799999999</v>
      </c>
      <c r="I3257" s="465">
        <v>38.825719999999997</v>
      </c>
      <c r="J3257" s="465">
        <v>133.51179999999999</v>
      </c>
      <c r="K3257" s="465">
        <v>15474.501</v>
      </c>
      <c r="L3257" s="464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horizontálna lišta 3m strieborná</v>
      </c>
      <c r="C3258" s="185">
        <f t="shared" si="101"/>
        <v>43.249560000000002</v>
      </c>
      <c r="D3258" s="409" t="s">
        <v>1525</v>
      </c>
      <c r="E3258" s="409" t="s">
        <v>1953</v>
      </c>
      <c r="F3258" s="409" t="s">
        <v>6027</v>
      </c>
      <c r="G3258" s="409" t="s">
        <v>2471</v>
      </c>
      <c r="H3258" s="465">
        <v>1202.86914</v>
      </c>
      <c r="I3258" s="465">
        <v>43.249560000000002</v>
      </c>
      <c r="J3258" s="465">
        <v>148.72426999999999</v>
      </c>
      <c r="K3258" s="465">
        <v>17237.681420000001</v>
      </c>
      <c r="L3258" s="464" t="s">
        <v>539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horizontálna lišta 3m biela lesk</v>
      </c>
      <c r="C3259" s="185">
        <f t="shared" si="101"/>
        <v>56.234839999999998</v>
      </c>
      <c r="D3259" s="409" t="s">
        <v>1526</v>
      </c>
      <c r="E3259" s="409" t="s">
        <v>1954</v>
      </c>
      <c r="F3259" s="409" t="s">
        <v>6028</v>
      </c>
      <c r="G3259" s="409" t="s">
        <v>2472</v>
      </c>
      <c r="H3259" s="465">
        <v>1564.01938</v>
      </c>
      <c r="I3259" s="465">
        <v>56.234839999999998</v>
      </c>
      <c r="J3259" s="465">
        <v>193.37735000000001</v>
      </c>
      <c r="K3259" s="465">
        <v>22413.134569999998</v>
      </c>
      <c r="L3259" s="464" t="s">
        <v>539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horizontálna lišta 3m biela lesk</v>
      </c>
      <c r="C3260" s="185">
        <f t="shared" si="101"/>
        <v>50.483840000000001</v>
      </c>
      <c r="D3260" s="409" t="s">
        <v>3348</v>
      </c>
      <c r="E3260" s="409" t="s">
        <v>1955</v>
      </c>
      <c r="F3260" s="409" t="s">
        <v>6029</v>
      </c>
      <c r="G3260" s="409" t="s">
        <v>2473</v>
      </c>
      <c r="H3260" s="465">
        <v>1404.0710799999999</v>
      </c>
      <c r="I3260" s="465">
        <v>50.483840000000001</v>
      </c>
      <c r="J3260" s="465">
        <v>173.60113999999999</v>
      </c>
      <c r="K3260" s="465">
        <v>20121.000059999998</v>
      </c>
      <c r="L3260" s="464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horná krytka 1,1m strieborná</v>
      </c>
      <c r="C3261" s="185">
        <f t="shared" si="101"/>
        <v>3.7472500000000002</v>
      </c>
      <c r="D3261" s="409" t="s">
        <v>3349</v>
      </c>
      <c r="E3261" s="409" t="s">
        <v>1956</v>
      </c>
      <c r="F3261" s="409" t="s">
        <v>6030</v>
      </c>
      <c r="G3261" s="409" t="s">
        <v>6031</v>
      </c>
      <c r="H3261" s="465">
        <v>104.2197</v>
      </c>
      <c r="I3261" s="465">
        <v>3.7472500000000002</v>
      </c>
      <c r="J3261" s="465">
        <v>12.885859999999999</v>
      </c>
      <c r="K3261" s="465">
        <v>1493.5173600000001</v>
      </c>
      <c r="L3261" s="464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montážny prípravok pre Eden/Pax</v>
      </c>
      <c r="C3262" s="185">
        <f t="shared" si="101"/>
        <v>21.633700000000001</v>
      </c>
      <c r="D3262" s="409" t="s">
        <v>3350</v>
      </c>
      <c r="E3262" s="409" t="s">
        <v>5719</v>
      </c>
      <c r="F3262" s="409" t="s">
        <v>5720</v>
      </c>
      <c r="G3262" s="409" t="s">
        <v>5721</v>
      </c>
      <c r="H3262" s="465">
        <v>542.79499999999996</v>
      </c>
      <c r="I3262" s="465">
        <v>21.633700000000001</v>
      </c>
      <c r="J3262" s="465">
        <v>99.477649999999997</v>
      </c>
      <c r="K3262" s="465">
        <v>9278.2384399999992</v>
      </c>
      <c r="L3262" s="464" t="s">
        <v>539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dištančný profil 04 3m strieborná</v>
      </c>
      <c r="C3263" s="185">
        <f t="shared" si="101"/>
        <v>3.5911200000000001</v>
      </c>
      <c r="D3263" s="409" t="s">
        <v>3351</v>
      </c>
      <c r="E3263" s="409" t="s">
        <v>3616</v>
      </c>
      <c r="F3263" s="409" t="s">
        <v>3617</v>
      </c>
      <c r="G3263" s="409" t="s">
        <v>68</v>
      </c>
      <c r="H3263" s="465">
        <v>99.877229999999997</v>
      </c>
      <c r="I3263" s="465">
        <v>3.5911200000000001</v>
      </c>
      <c r="J3263" s="465">
        <v>12.5154</v>
      </c>
      <c r="K3263" s="465">
        <v>1431.2877100000001</v>
      </c>
      <c r="L3263" s="464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dištančný profil 04 3m biela lesk</v>
      </c>
      <c r="C3264" s="185">
        <f t="shared" si="101"/>
        <v>4.66845</v>
      </c>
      <c r="D3264" s="409" t="s">
        <v>3352</v>
      </c>
      <c r="E3264" s="409" t="s">
        <v>3690</v>
      </c>
      <c r="F3264" s="409" t="s">
        <v>3691</v>
      </c>
      <c r="G3264" s="409" t="s">
        <v>68</v>
      </c>
      <c r="H3264" s="465">
        <v>129.55089000000001</v>
      </c>
      <c r="I3264" s="465">
        <v>4.66845</v>
      </c>
      <c r="J3264" s="465">
        <v>16.289400000000001</v>
      </c>
      <c r="K3264" s="465">
        <v>1856.52531</v>
      </c>
      <c r="L3264" s="464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maska Elegant II 1,7m oliva kartáčovaná</v>
      </c>
      <c r="C3265" s="185">
        <f t="shared" si="101"/>
        <v>4.6580500000000002</v>
      </c>
      <c r="D3265" s="409" t="s">
        <v>3353</v>
      </c>
      <c r="E3265" s="409" t="s">
        <v>3649</v>
      </c>
      <c r="F3265" s="409" t="s">
        <v>3353</v>
      </c>
      <c r="G3265" s="409" t="s">
        <v>3650</v>
      </c>
      <c r="H3265" s="465">
        <v>129.55089000000001</v>
      </c>
      <c r="I3265" s="465">
        <v>4.6580500000000002</v>
      </c>
      <c r="J3265" s="465">
        <v>16.01784</v>
      </c>
      <c r="K3265" s="465">
        <v>1856.52531</v>
      </c>
      <c r="L3265" s="464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maska Elegant II 1,7m oliva tmavá kartáčovaná</v>
      </c>
      <c r="C3266" s="185">
        <f t="shared" si="101"/>
        <v>4.6580500000000002</v>
      </c>
      <c r="D3266" s="409" t="s">
        <v>3354</v>
      </c>
      <c r="E3266" s="409" t="s">
        <v>3651</v>
      </c>
      <c r="F3266" s="409" t="s">
        <v>3354</v>
      </c>
      <c r="G3266" s="409" t="s">
        <v>3652</v>
      </c>
      <c r="H3266" s="465">
        <v>129.55089000000001</v>
      </c>
      <c r="I3266" s="465">
        <v>4.6580500000000002</v>
      </c>
      <c r="J3266" s="465">
        <v>16.01784</v>
      </c>
      <c r="K3266" s="465">
        <v>1856.52531</v>
      </c>
      <c r="L3266" s="464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maska Elegant II 1,7m čierna  kartáčovaná</v>
      </c>
      <c r="C3267" s="185">
        <f t="shared" si="101"/>
        <v>4.6580500000000002</v>
      </c>
      <c r="D3267" s="409" t="s">
        <v>3355</v>
      </c>
      <c r="E3267" s="409" t="s">
        <v>3646</v>
      </c>
      <c r="F3267" s="409" t="s">
        <v>3647</v>
      </c>
      <c r="G3267" s="409" t="s">
        <v>3648</v>
      </c>
      <c r="H3267" s="465">
        <v>129.55089000000001</v>
      </c>
      <c r="I3267" s="465">
        <v>4.6580500000000002</v>
      </c>
      <c r="J3267" s="465">
        <v>16.01784</v>
      </c>
      <c r="K3267" s="465">
        <v>1856.52531</v>
      </c>
      <c r="L3267" s="464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maska Elegant II 2,35m oliva kartáčovaná</v>
      </c>
      <c r="C3268" s="185">
        <f t="shared" ref="C3268:C3331" si="103">IF($A$2=1,H3268,IF($A$2=2,I3268,IF($A$2=3,J3268,IF($A$2=4,K3268,IF($A$2&gt;4,O3268,"zadat jazyk")))))</f>
        <v>6.4015599999999999</v>
      </c>
      <c r="D3268" s="409" t="s">
        <v>3356</v>
      </c>
      <c r="E3268" s="409" t="s">
        <v>3768</v>
      </c>
      <c r="F3268" s="409" t="s">
        <v>3356</v>
      </c>
      <c r="G3268" s="409" t="s">
        <v>3769</v>
      </c>
      <c r="H3268" s="465">
        <v>178.04201</v>
      </c>
      <c r="I3268" s="465">
        <v>6.4015599999999999</v>
      </c>
      <c r="J3268" s="465">
        <v>22.013339999999999</v>
      </c>
      <c r="K3268" s="465">
        <v>2551.4259499999998</v>
      </c>
      <c r="L3268" s="464" t="s">
        <v>538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maska Elegant II 2,35 oliva tmavá kartáčovaná</v>
      </c>
      <c r="C3269" s="185">
        <f t="shared" si="103"/>
        <v>6.4015599999999999</v>
      </c>
      <c r="D3269" s="409" t="s">
        <v>3357</v>
      </c>
      <c r="E3269" s="409" t="s">
        <v>3750</v>
      </c>
      <c r="F3269" s="409" t="s">
        <v>3751</v>
      </c>
      <c r="G3269" s="409" t="s">
        <v>3752</v>
      </c>
      <c r="H3269" s="465">
        <v>178.04201</v>
      </c>
      <c r="I3269" s="465">
        <v>6.4015599999999999</v>
      </c>
      <c r="J3269" s="465">
        <v>22.013339999999999</v>
      </c>
      <c r="K3269" s="465">
        <v>2551.4259499999998</v>
      </c>
      <c r="L3269" s="464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maska Elegant II 2,35m čierna  kartáčovaná</v>
      </c>
      <c r="C3270" s="185">
        <f t="shared" si="103"/>
        <v>6.4015599999999999</v>
      </c>
      <c r="D3270" s="409" t="s">
        <v>3358</v>
      </c>
      <c r="E3270" s="409" t="s">
        <v>3765</v>
      </c>
      <c r="F3270" s="409" t="s">
        <v>3766</v>
      </c>
      <c r="G3270" s="409" t="s">
        <v>3767</v>
      </c>
      <c r="H3270" s="465">
        <v>178.04201</v>
      </c>
      <c r="I3270" s="465">
        <v>6.4015599999999999</v>
      </c>
      <c r="J3270" s="465">
        <v>22.013339999999999</v>
      </c>
      <c r="K3270" s="465">
        <v>2551.4259499999998</v>
      </c>
      <c r="L3270" s="464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maska Elegant II 3m strieborná</v>
      </c>
      <c r="C3271" s="185">
        <f t="shared" si="103"/>
        <v>4.5279299999999996</v>
      </c>
      <c r="D3271" s="409" t="s">
        <v>3359</v>
      </c>
      <c r="E3271" s="409" t="s">
        <v>5442</v>
      </c>
      <c r="F3271" s="409" t="s">
        <v>5443</v>
      </c>
      <c r="G3271" s="409" t="s">
        <v>5444</v>
      </c>
      <c r="H3271" s="465">
        <v>125.93214</v>
      </c>
      <c r="I3271" s="465">
        <v>4.5279299999999996</v>
      </c>
      <c r="J3271" s="465">
        <v>16.564800000000002</v>
      </c>
      <c r="K3271" s="465">
        <v>1804.66687</v>
      </c>
      <c r="L3271" s="464" t="s">
        <v>695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maska Elegant II 3m oliva</v>
      </c>
      <c r="C3272" s="185">
        <f t="shared" si="103"/>
        <v>5.6599199999999996</v>
      </c>
      <c r="D3272" s="409" t="s">
        <v>3360</v>
      </c>
      <c r="E3272" s="409" t="s">
        <v>5440</v>
      </c>
      <c r="F3272" s="409" t="s">
        <v>3360</v>
      </c>
      <c r="G3272" s="409" t="s">
        <v>5441</v>
      </c>
      <c r="H3272" s="465">
        <v>157.77707000000001</v>
      </c>
      <c r="I3272" s="465">
        <v>5.6599199999999996</v>
      </c>
      <c r="J3272" s="465">
        <v>19.507760000000001</v>
      </c>
      <c r="K3272" s="465">
        <v>2261.0196700000001</v>
      </c>
      <c r="L3272" s="464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maska Elegant II 3m oliva kartáčovaná</v>
      </c>
      <c r="C3273" s="185">
        <f t="shared" si="103"/>
        <v>8.1710999999999991</v>
      </c>
      <c r="D3273" s="409" t="s">
        <v>3361</v>
      </c>
      <c r="E3273" s="409" t="s">
        <v>3883</v>
      </c>
      <c r="F3273" s="409" t="s">
        <v>3361</v>
      </c>
      <c r="G3273" s="409" t="s">
        <v>3884</v>
      </c>
      <c r="H3273" s="465">
        <v>227.25684999999999</v>
      </c>
      <c r="I3273" s="465">
        <v>8.1710999999999991</v>
      </c>
      <c r="J3273" s="465">
        <v>28.098320000000001</v>
      </c>
      <c r="K3273" s="465">
        <v>3256.6977900000002</v>
      </c>
      <c r="L3273" s="464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maska Elegant II 3m oliva tmavá kartáčovaná</v>
      </c>
      <c r="C3274" s="185">
        <f t="shared" si="103"/>
        <v>8.1710999999999991</v>
      </c>
      <c r="D3274" s="409" t="s">
        <v>3362</v>
      </c>
      <c r="E3274" s="409" t="s">
        <v>3885</v>
      </c>
      <c r="F3274" s="409" t="s">
        <v>3362</v>
      </c>
      <c r="G3274" s="409" t="s">
        <v>3886</v>
      </c>
      <c r="H3274" s="465">
        <v>227.25684999999999</v>
      </c>
      <c r="I3274" s="465">
        <v>8.1710999999999991</v>
      </c>
      <c r="J3274" s="465">
        <v>28.098320000000001</v>
      </c>
      <c r="K3274" s="465">
        <v>3256.6977900000002</v>
      </c>
      <c r="L3274" s="464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maska Elegant II 3m čierna  kartáčovaná</v>
      </c>
      <c r="C3275" s="185">
        <f t="shared" si="103"/>
        <v>8.1710999999999991</v>
      </c>
      <c r="D3275" s="409" t="s">
        <v>3363</v>
      </c>
      <c r="E3275" s="409" t="s">
        <v>3880</v>
      </c>
      <c r="F3275" s="409" t="s">
        <v>3881</v>
      </c>
      <c r="G3275" s="409" t="s">
        <v>3882</v>
      </c>
      <c r="H3275" s="465">
        <v>227.25684999999999</v>
      </c>
      <c r="I3275" s="465">
        <v>8.1710999999999991</v>
      </c>
      <c r="J3275" s="465">
        <v>28.098320000000001</v>
      </c>
      <c r="K3275" s="465">
        <v>3256.6977900000002</v>
      </c>
      <c r="L3275" s="464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maska Elegant II 3m biela lesk</v>
      </c>
      <c r="C3276" s="185">
        <f t="shared" si="103"/>
        <v>5.8863200000000004</v>
      </c>
      <c r="D3276" s="409" t="s">
        <v>3364</v>
      </c>
      <c r="E3276" s="409" t="s">
        <v>3803</v>
      </c>
      <c r="F3276" s="409" t="s">
        <v>3804</v>
      </c>
      <c r="G3276" s="409" t="s">
        <v>3805</v>
      </c>
      <c r="H3276" s="465">
        <v>163.56704999999999</v>
      </c>
      <c r="I3276" s="465">
        <v>5.8863200000000004</v>
      </c>
      <c r="J3276" s="465">
        <v>21.542400000000001</v>
      </c>
      <c r="K3276" s="465">
        <v>2343.9929499999998</v>
      </c>
      <c r="L3276" s="464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maska Elegant II 4,05m strieborná</v>
      </c>
      <c r="C3277" s="185">
        <f t="shared" si="103"/>
        <v>6.1127000000000002</v>
      </c>
      <c r="D3277" s="409" t="s">
        <v>3365</v>
      </c>
      <c r="E3277" s="409" t="s">
        <v>5449</v>
      </c>
      <c r="F3277" s="409" t="s">
        <v>5450</v>
      </c>
      <c r="G3277" s="409" t="s">
        <v>5451</v>
      </c>
      <c r="H3277" s="465">
        <v>170.08079000000001</v>
      </c>
      <c r="I3277" s="465">
        <v>6.1127000000000002</v>
      </c>
      <c r="J3277" s="465">
        <v>22.368600000000001</v>
      </c>
      <c r="K3277" s="465">
        <v>2437.3378299999999</v>
      </c>
      <c r="L3277" s="464" t="s">
        <v>695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maska Elegant II 4,05m oliva</v>
      </c>
      <c r="C3278" s="185">
        <f t="shared" si="103"/>
        <v>7.6506400000000001</v>
      </c>
      <c r="D3278" s="409" t="s">
        <v>3366</v>
      </c>
      <c r="E3278" s="409" t="s">
        <v>5447</v>
      </c>
      <c r="F3278" s="409" t="s">
        <v>3366</v>
      </c>
      <c r="G3278" s="409" t="s">
        <v>5448</v>
      </c>
      <c r="H3278" s="465">
        <v>212.78190000000001</v>
      </c>
      <c r="I3278" s="465">
        <v>7.6506400000000001</v>
      </c>
      <c r="J3278" s="465">
        <v>26.30864</v>
      </c>
      <c r="K3278" s="465">
        <v>3049.2647999999999</v>
      </c>
      <c r="L3278" s="464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maska Elegant II 4,05m oliva kartáčovaná</v>
      </c>
      <c r="C3279" s="185">
        <f t="shared" si="103"/>
        <v>11.033580000000001</v>
      </c>
      <c r="D3279" s="409" t="s">
        <v>3367</v>
      </c>
      <c r="E3279" s="409" t="s">
        <v>4078</v>
      </c>
      <c r="F3279" s="409" t="s">
        <v>3367</v>
      </c>
      <c r="G3279" s="409" t="s">
        <v>4079</v>
      </c>
      <c r="H3279" s="465">
        <v>306.86912999999998</v>
      </c>
      <c r="I3279" s="465">
        <v>11.033580000000001</v>
      </c>
      <c r="J3279" s="465">
        <v>37.941690000000001</v>
      </c>
      <c r="K3279" s="465">
        <v>4397.5792300000003</v>
      </c>
      <c r="L3279" s="464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maska Elegant II 4,05m oliva tmavá kartáčovaná</v>
      </c>
      <c r="C3280" s="185">
        <f t="shared" si="103"/>
        <v>11.033580000000001</v>
      </c>
      <c r="D3280" s="409" t="s">
        <v>3368</v>
      </c>
      <c r="E3280" s="409" t="s">
        <v>4040</v>
      </c>
      <c r="F3280" s="409" t="s">
        <v>3368</v>
      </c>
      <c r="G3280" s="409" t="s">
        <v>4041</v>
      </c>
      <c r="H3280" s="465">
        <v>306.86912999999998</v>
      </c>
      <c r="I3280" s="465">
        <v>11.033580000000001</v>
      </c>
      <c r="J3280" s="465">
        <v>37.941690000000001</v>
      </c>
      <c r="K3280" s="465">
        <v>4397.5792300000003</v>
      </c>
      <c r="L3280" s="464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maska Elegant II 4,05m čierna  kartáčovaná</v>
      </c>
      <c r="C3281" s="185">
        <f t="shared" si="103"/>
        <v>11.033580000000001</v>
      </c>
      <c r="D3281" s="409" t="s">
        <v>3369</v>
      </c>
      <c r="E3281" s="409" t="s">
        <v>4075</v>
      </c>
      <c r="F3281" s="409" t="s">
        <v>4076</v>
      </c>
      <c r="G3281" s="409" t="s">
        <v>4077</v>
      </c>
      <c r="H3281" s="465">
        <v>306.86912999999998</v>
      </c>
      <c r="I3281" s="465">
        <v>11.033580000000001</v>
      </c>
      <c r="J3281" s="465">
        <v>37.941690000000001</v>
      </c>
      <c r="K3281" s="465">
        <v>4397.5792300000003</v>
      </c>
      <c r="L3281" s="464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maska Elegant II 4,05m biela lesk</v>
      </c>
      <c r="C3282" s="185">
        <f t="shared" si="103"/>
        <v>7.93689</v>
      </c>
      <c r="D3282" s="409" t="s">
        <v>3370</v>
      </c>
      <c r="E3282" s="409" t="s">
        <v>3954</v>
      </c>
      <c r="F3282" s="409" t="s">
        <v>3955</v>
      </c>
      <c r="G3282" s="409" t="s">
        <v>3956</v>
      </c>
      <c r="H3282" s="465">
        <v>220.74315000000001</v>
      </c>
      <c r="I3282" s="465">
        <v>7.93689</v>
      </c>
      <c r="J3282" s="465">
        <v>29.07</v>
      </c>
      <c r="K3282" s="465">
        <v>3163.3533000000002</v>
      </c>
      <c r="L3282" s="464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maska Elegant II 6m strieborná</v>
      </c>
      <c r="C3283" s="185">
        <f t="shared" si="103"/>
        <v>9.0558599999999991</v>
      </c>
      <c r="D3283" s="409" t="s">
        <v>3371</v>
      </c>
      <c r="E3283" s="409" t="s">
        <v>5456</v>
      </c>
      <c r="F3283" s="409" t="s">
        <v>5457</v>
      </c>
      <c r="G3283" s="409" t="s">
        <v>5458</v>
      </c>
      <c r="H3283" s="465">
        <v>251.86429999999999</v>
      </c>
      <c r="I3283" s="465">
        <v>9.0558599999999991</v>
      </c>
      <c r="J3283" s="465">
        <v>33.160200000000003</v>
      </c>
      <c r="K3283" s="465">
        <v>3609.3341099999998</v>
      </c>
      <c r="L3283" s="464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maska Elegant II 6m oliva</v>
      </c>
      <c r="C3284" s="185">
        <f t="shared" si="103"/>
        <v>11.31983</v>
      </c>
      <c r="D3284" s="409" t="s">
        <v>3372</v>
      </c>
      <c r="E3284" s="409" t="s">
        <v>5454</v>
      </c>
      <c r="F3284" s="409" t="s">
        <v>3372</v>
      </c>
      <c r="G3284" s="409" t="s">
        <v>5455</v>
      </c>
      <c r="H3284" s="465">
        <v>314.83039000000002</v>
      </c>
      <c r="I3284" s="465">
        <v>11.31983</v>
      </c>
      <c r="J3284" s="465">
        <v>38.926020000000001</v>
      </c>
      <c r="K3284" s="465">
        <v>4511.6677399999999</v>
      </c>
      <c r="L3284" s="464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maska Elegant II 6m oliva kartáčovaná</v>
      </c>
      <c r="C3285" s="185">
        <f t="shared" si="103"/>
        <v>16.342189999999999</v>
      </c>
      <c r="D3285" s="409" t="s">
        <v>3373</v>
      </c>
      <c r="E3285" s="409" t="s">
        <v>4310</v>
      </c>
      <c r="F3285" s="409" t="s">
        <v>3373</v>
      </c>
      <c r="G3285" s="409" t="s">
        <v>4311</v>
      </c>
      <c r="H3285" s="465">
        <v>454.51373999999998</v>
      </c>
      <c r="I3285" s="465">
        <v>16.342189999999999</v>
      </c>
      <c r="J3285" s="465">
        <v>56.196660000000001</v>
      </c>
      <c r="K3285" s="465">
        <v>6513.3959800000002</v>
      </c>
      <c r="L3285" s="464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maska Elegant II 6m oliva tmavá kartáčovaná</v>
      </c>
      <c r="C3286" s="185">
        <f t="shared" si="103"/>
        <v>16.342189999999999</v>
      </c>
      <c r="D3286" s="409" t="s">
        <v>3374</v>
      </c>
      <c r="E3286" s="409" t="s">
        <v>4312</v>
      </c>
      <c r="F3286" s="409" t="s">
        <v>3374</v>
      </c>
      <c r="G3286" s="409" t="s">
        <v>4313</v>
      </c>
      <c r="H3286" s="465">
        <v>454.51373999999998</v>
      </c>
      <c r="I3286" s="465">
        <v>16.342189999999999</v>
      </c>
      <c r="J3286" s="465">
        <v>56.196660000000001</v>
      </c>
      <c r="K3286" s="465">
        <v>6513.3959800000002</v>
      </c>
      <c r="L3286" s="464" t="s">
        <v>539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maska Elegant II 6m čierna kartáčovaná</v>
      </c>
      <c r="C3287" s="185">
        <f t="shared" si="103"/>
        <v>16.342189999999999</v>
      </c>
      <c r="D3287" s="409" t="s">
        <v>3375</v>
      </c>
      <c r="E3287" s="409" t="s">
        <v>4307</v>
      </c>
      <c r="F3287" s="409" t="s">
        <v>4308</v>
      </c>
      <c r="G3287" s="409" t="s">
        <v>4309</v>
      </c>
      <c r="H3287" s="465">
        <v>454.51373999999998</v>
      </c>
      <c r="I3287" s="465">
        <v>16.342189999999999</v>
      </c>
      <c r="J3287" s="465">
        <v>56.196660000000001</v>
      </c>
      <c r="K3287" s="465">
        <v>6513.3959800000002</v>
      </c>
      <c r="L3287" s="464" t="s">
        <v>538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maska Elegant II 6m biela lesk</v>
      </c>
      <c r="C3288" s="185">
        <f t="shared" si="103"/>
        <v>11.762219999999999</v>
      </c>
      <c r="D3288" s="409" t="s">
        <v>3376</v>
      </c>
      <c r="E3288" s="409" t="s">
        <v>4169</v>
      </c>
      <c r="F3288" s="409" t="s">
        <v>4170</v>
      </c>
      <c r="G3288" s="409" t="s">
        <v>4171</v>
      </c>
      <c r="H3288" s="465">
        <v>327.13407999999998</v>
      </c>
      <c r="I3288" s="465">
        <v>11.762219999999999</v>
      </c>
      <c r="J3288" s="465">
        <v>43.084800000000001</v>
      </c>
      <c r="K3288" s="465">
        <v>4687.9854999999998</v>
      </c>
      <c r="L3288" s="464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str">
        <f t="shared" si="102"/>
        <v>SEVROLL 214-378 Herkules plus horné vedenie 4m alu</v>
      </c>
      <c r="C3289" s="185" t="e">
        <f t="shared" si="103"/>
        <v>#N/A</v>
      </c>
      <c r="D3289" s="409" t="s">
        <v>3377</v>
      </c>
      <c r="E3289" s="409" t="s">
        <v>4871</v>
      </c>
      <c r="F3289" s="409" t="s">
        <v>4872</v>
      </c>
      <c r="G3289" s="409" t="s">
        <v>4873</v>
      </c>
      <c r="H3289" s="465" t="e">
        <v>#N/A</v>
      </c>
      <c r="I3289" s="465" t="e">
        <v>#N/A</v>
      </c>
      <c r="J3289" s="465" t="e">
        <v>#N/A</v>
      </c>
      <c r="K3289" s="465" t="e">
        <v>#N/A</v>
      </c>
      <c r="L3289" s="464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str">
        <f t="shared" si="102"/>
        <v>SEVROLL 214-379 Herkules plus horné vedenie 6m alu</v>
      </c>
      <c r="C3290" s="185" t="e">
        <f t="shared" si="103"/>
        <v>#N/A</v>
      </c>
      <c r="D3290" s="409" t="s">
        <v>3378</v>
      </c>
      <c r="E3290" s="409" t="s">
        <v>5006</v>
      </c>
      <c r="F3290" s="409" t="s">
        <v>5007</v>
      </c>
      <c r="G3290" s="409" t="s">
        <v>5008</v>
      </c>
      <c r="H3290" s="465" t="e">
        <v>#N/A</v>
      </c>
      <c r="I3290" s="465" t="e">
        <v>#N/A</v>
      </c>
      <c r="J3290" s="465" t="e">
        <v>#N/A</v>
      </c>
      <c r="K3290" s="465" t="e">
        <v>#N/A</v>
      </c>
      <c r="L3290" s="464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skrutkovrut Blue 6,3x45</v>
      </c>
      <c r="C3291" s="185">
        <f t="shared" si="103"/>
        <v>0.15614</v>
      </c>
      <c r="D3291" s="409" t="s">
        <v>3379</v>
      </c>
      <c r="E3291" s="409" t="s">
        <v>6207</v>
      </c>
      <c r="F3291" s="409" t="s">
        <v>6208</v>
      </c>
      <c r="G3291" s="409" t="s">
        <v>6209</v>
      </c>
      <c r="H3291" s="465">
        <v>4.6080500000000004</v>
      </c>
      <c r="I3291" s="465">
        <v>0.15614</v>
      </c>
      <c r="J3291" s="465">
        <v>0.52376999999999996</v>
      </c>
      <c r="K3291" s="465">
        <v>63.993670000000002</v>
      </c>
      <c r="L3291" s="464" t="s">
        <v>695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úchytová lišta 18mm 2,70m strieborná</v>
      </c>
      <c r="C3292" s="185">
        <f t="shared" si="103"/>
        <v>11.9704</v>
      </c>
      <c r="D3292" s="409" t="s">
        <v>3380</v>
      </c>
      <c r="E3292" s="409" t="s">
        <v>4182</v>
      </c>
      <c r="F3292" s="409" t="s">
        <v>4183</v>
      </c>
      <c r="G3292" s="409" t="s">
        <v>4184</v>
      </c>
      <c r="H3292" s="465">
        <v>329.33136999999999</v>
      </c>
      <c r="I3292" s="465">
        <v>11.9704</v>
      </c>
      <c r="J3292" s="465">
        <v>42.932870000000001</v>
      </c>
      <c r="K3292" s="465">
        <v>4867.5369000000001</v>
      </c>
      <c r="L3292" s="464" t="s">
        <v>695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horné vedenie  2m strieborná</v>
      </c>
      <c r="C3293" s="185">
        <f t="shared" si="103"/>
        <v>15.093109999999999</v>
      </c>
      <c r="D3293" s="409" t="s">
        <v>3381</v>
      </c>
      <c r="E3293" s="409" t="s">
        <v>4354</v>
      </c>
      <c r="F3293" s="409" t="s">
        <v>4355</v>
      </c>
      <c r="G3293" s="409" t="s">
        <v>4356</v>
      </c>
      <c r="H3293" s="465">
        <v>415.2439</v>
      </c>
      <c r="I3293" s="465">
        <v>15.093109999999999</v>
      </c>
      <c r="J3293" s="465">
        <v>53.662149999999997</v>
      </c>
      <c r="K3293" s="465">
        <v>6137.3291399999998</v>
      </c>
      <c r="L3293" s="464" t="s">
        <v>695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spodné vedenie  2m strieborná</v>
      </c>
      <c r="C3294" s="185">
        <f t="shared" si="103"/>
        <v>8.0670099999999998</v>
      </c>
      <c r="D3294" s="409" t="s">
        <v>3382</v>
      </c>
      <c r="E3294" s="409" t="s">
        <v>3918</v>
      </c>
      <c r="F3294" s="409" t="s">
        <v>3919</v>
      </c>
      <c r="G3294" s="409" t="s">
        <v>3920</v>
      </c>
      <c r="H3294" s="465">
        <v>221.94069999999999</v>
      </c>
      <c r="I3294" s="465">
        <v>8.0670099999999998</v>
      </c>
      <c r="J3294" s="465">
        <v>33.713859999999997</v>
      </c>
      <c r="K3294" s="465">
        <v>3280.2966000000001</v>
      </c>
      <c r="L3294" s="464" t="s">
        <v>695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spodné vedenie 2m strieborná</v>
      </c>
      <c r="C3295" s="185">
        <f t="shared" si="103"/>
        <v>6.9480300000000002</v>
      </c>
      <c r="D3295" s="409" t="s">
        <v>3383</v>
      </c>
      <c r="E3295" s="409" t="s">
        <v>3782</v>
      </c>
      <c r="F3295" s="409" t="s">
        <v>3783</v>
      </c>
      <c r="G3295" s="409" t="s">
        <v>3784</v>
      </c>
      <c r="H3295" s="465">
        <v>191.15539000000001</v>
      </c>
      <c r="I3295" s="465">
        <v>6.9480300000000002</v>
      </c>
      <c r="J3295" s="465">
        <v>28.207630000000002</v>
      </c>
      <c r="K3295" s="465">
        <v>2825.28784</v>
      </c>
      <c r="L3295" s="464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horný vozík Blue (pro lamino 18mm) rámový L+P</v>
      </c>
      <c r="C3296" s="185">
        <f t="shared" si="103"/>
        <v>3.64316</v>
      </c>
      <c r="D3296" s="409" t="s">
        <v>3384</v>
      </c>
      <c r="E3296" s="409" t="s">
        <v>3578</v>
      </c>
      <c r="F3296" s="409" t="s">
        <v>3579</v>
      </c>
      <c r="G3296" s="409" t="s">
        <v>3580</v>
      </c>
      <c r="H3296" s="465">
        <v>107.52083</v>
      </c>
      <c r="I3296" s="465">
        <v>3.64316</v>
      </c>
      <c r="J3296" s="465">
        <v>15.244389999999999</v>
      </c>
      <c r="K3296" s="465">
        <v>1493.1815999999999</v>
      </c>
      <c r="L3296" s="464" t="s">
        <v>695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spodný vozík Blue C rámový systém - 2ks</v>
      </c>
      <c r="C3297" s="185">
        <f t="shared" si="103"/>
        <v>2.94055</v>
      </c>
      <c r="D3297" s="409" t="s">
        <v>3385</v>
      </c>
      <c r="E3297" s="409" t="s">
        <v>6210</v>
      </c>
      <c r="F3297" s="409" t="s">
        <v>6211</v>
      </c>
      <c r="G3297" s="409" t="s">
        <v>6212</v>
      </c>
      <c r="H3297" s="465">
        <v>86.784660000000002</v>
      </c>
      <c r="I3297" s="465">
        <v>2.94055</v>
      </c>
      <c r="J3297" s="465">
        <v>15.66916</v>
      </c>
      <c r="K3297" s="465">
        <v>1205.21075</v>
      </c>
      <c r="L3297" s="464" t="s">
        <v>539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horný vozík Blue (pro lamino 18mm) bezrámový L+P</v>
      </c>
      <c r="C3298" s="185">
        <f t="shared" si="103"/>
        <v>3.64316</v>
      </c>
      <c r="D3298" s="409" t="s">
        <v>3386</v>
      </c>
      <c r="E3298" s="409" t="s">
        <v>3597</v>
      </c>
      <c r="F3298" s="409" t="s">
        <v>3598</v>
      </c>
      <c r="G3298" s="409" t="s">
        <v>3599</v>
      </c>
      <c r="H3298" s="465">
        <v>107.52083</v>
      </c>
      <c r="I3298" s="465">
        <v>3.64316</v>
      </c>
      <c r="J3298" s="465">
        <v>12.22138</v>
      </c>
      <c r="K3298" s="465">
        <v>1493.1815999999999</v>
      </c>
      <c r="L3298" s="464" t="s">
        <v>695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spodný vozík Blue V bezrámový pre 18mm - 2ks</v>
      </c>
      <c r="C3299" s="185">
        <f t="shared" si="103"/>
        <v>4.8141800000000003</v>
      </c>
      <c r="D3299" s="409" t="s">
        <v>3387</v>
      </c>
      <c r="E3299" s="409" t="s">
        <v>3681</v>
      </c>
      <c r="F3299" s="409" t="s">
        <v>3682</v>
      </c>
      <c r="G3299" s="409" t="s">
        <v>3683</v>
      </c>
      <c r="H3299" s="465">
        <v>142.08112</v>
      </c>
      <c r="I3299" s="465">
        <v>4.8141800000000003</v>
      </c>
      <c r="J3299" s="465">
        <v>17.35249</v>
      </c>
      <c r="K3299" s="465">
        <v>1973.1330399999999</v>
      </c>
      <c r="L3299" s="464" t="s">
        <v>695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spodný vozík Blue C bezrámový pre 18mm - 2ks</v>
      </c>
      <c r="C3300" s="185">
        <f t="shared" si="103"/>
        <v>4.8141800000000003</v>
      </c>
      <c r="D3300" s="409" t="s">
        <v>3388</v>
      </c>
      <c r="E3300" s="409" t="s">
        <v>3656</v>
      </c>
      <c r="F3300" s="409" t="s">
        <v>3657</v>
      </c>
      <c r="G3300" s="409" t="s">
        <v>3658</v>
      </c>
      <c r="H3300" s="465">
        <v>142.08112</v>
      </c>
      <c r="I3300" s="465">
        <v>4.8141800000000003</v>
      </c>
      <c r="J3300" s="465">
        <v>16.911989999999999</v>
      </c>
      <c r="K3300" s="465">
        <v>1973.1330399999999</v>
      </c>
      <c r="L3300" s="464" t="s">
        <v>539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úchytová lišta 18mm 2,70m oliva</v>
      </c>
      <c r="C3301" s="185">
        <f t="shared" si="103"/>
        <v>14.962999999999999</v>
      </c>
      <c r="D3301" s="409" t="s">
        <v>3389</v>
      </c>
      <c r="E3301" s="409" t="s">
        <v>4254</v>
      </c>
      <c r="F3301" s="409" t="s">
        <v>3389</v>
      </c>
      <c r="G3301" s="409" t="s">
        <v>4255</v>
      </c>
      <c r="H3301" s="465">
        <v>411.66422</v>
      </c>
      <c r="I3301" s="465">
        <v>14.962999999999999</v>
      </c>
      <c r="J3301" s="465">
        <v>50.194949999999999</v>
      </c>
      <c r="K3301" s="465">
        <v>6084.4213099999997</v>
      </c>
      <c r="L3301" s="464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horné vedenie 1,5m strieborná</v>
      </c>
      <c r="C3302" s="185">
        <f t="shared" si="103"/>
        <v>11.31983</v>
      </c>
      <c r="D3302" s="409" t="s">
        <v>3390</v>
      </c>
      <c r="E3302" s="409" t="s">
        <v>4134</v>
      </c>
      <c r="F3302" s="409" t="s">
        <v>4135</v>
      </c>
      <c r="G3302" s="409" t="s">
        <v>4136</v>
      </c>
      <c r="H3302" s="465">
        <v>311.43293999999997</v>
      </c>
      <c r="I3302" s="465">
        <v>11.31983</v>
      </c>
      <c r="J3302" s="465">
        <v>40.289879999999997</v>
      </c>
      <c r="K3302" s="465">
        <v>4602.9970499999999</v>
      </c>
      <c r="L3302" s="464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horné vedenie 1,5m oliva</v>
      </c>
      <c r="C3303" s="185">
        <f t="shared" si="103"/>
        <v>14.15629</v>
      </c>
      <c r="D3303" s="409" t="s">
        <v>3391</v>
      </c>
      <c r="E3303" s="409" t="s">
        <v>4196</v>
      </c>
      <c r="F3303" s="409" t="s">
        <v>4197</v>
      </c>
      <c r="G3303" s="409" t="s">
        <v>4198</v>
      </c>
      <c r="H3303" s="465">
        <v>389.47012999999998</v>
      </c>
      <c r="I3303" s="465">
        <v>14.15629</v>
      </c>
      <c r="J3303" s="465">
        <v>47.466999999999999</v>
      </c>
      <c r="K3303" s="465">
        <v>5756.3913000000002</v>
      </c>
      <c r="L3303" s="464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horné vedenie  2m oliva</v>
      </c>
      <c r="C3304" s="185">
        <f t="shared" si="103"/>
        <v>18.866389999999999</v>
      </c>
      <c r="D3304" s="409" t="s">
        <v>3392</v>
      </c>
      <c r="E3304" s="409" t="s">
        <v>4411</v>
      </c>
      <c r="F3304" s="409" t="s">
        <v>4412</v>
      </c>
      <c r="G3304" s="409" t="s">
        <v>4413</v>
      </c>
      <c r="H3304" s="465">
        <v>519.05488000000003</v>
      </c>
      <c r="I3304" s="465">
        <v>18.866389999999999</v>
      </c>
      <c r="J3304" s="465">
        <v>63.289290000000001</v>
      </c>
      <c r="K3304" s="465">
        <v>7671.6616000000004</v>
      </c>
      <c r="L3304" s="464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horné vedenie 2,5m strieborná</v>
      </c>
      <c r="C3305" s="185">
        <f t="shared" si="103"/>
        <v>18.866389999999999</v>
      </c>
      <c r="D3305" s="409" t="s">
        <v>3393</v>
      </c>
      <c r="E3305" s="409" t="s">
        <v>4466</v>
      </c>
      <c r="F3305" s="409" t="s">
        <v>4467</v>
      </c>
      <c r="G3305" s="409" t="s">
        <v>4468</v>
      </c>
      <c r="H3305" s="465">
        <v>519.05488000000003</v>
      </c>
      <c r="I3305" s="465">
        <v>18.866389999999999</v>
      </c>
      <c r="J3305" s="465">
        <v>67.065889999999996</v>
      </c>
      <c r="K3305" s="465">
        <v>7671.6616000000004</v>
      </c>
      <c r="L3305" s="464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horné vedenie 2,5m oliva</v>
      </c>
      <c r="C3306" s="185">
        <f t="shared" si="103"/>
        <v>23.57648</v>
      </c>
      <c r="D3306" s="409" t="s">
        <v>3394</v>
      </c>
      <c r="E3306" s="409" t="s">
        <v>4516</v>
      </c>
      <c r="F3306" s="409" t="s">
        <v>4517</v>
      </c>
      <c r="G3306" s="409" t="s">
        <v>4518</v>
      </c>
      <c r="H3306" s="465">
        <v>648.63960999999995</v>
      </c>
      <c r="I3306" s="465">
        <v>23.57648</v>
      </c>
      <c r="J3306" s="465">
        <v>79.111639999999994</v>
      </c>
      <c r="K3306" s="465">
        <v>9586.9315100000003</v>
      </c>
      <c r="L3306" s="464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horné vedenie  3m oliva</v>
      </c>
      <c r="C3307" s="185">
        <f t="shared" si="103"/>
        <v>28.31259</v>
      </c>
      <c r="D3307" s="409" t="s">
        <v>3395</v>
      </c>
      <c r="E3307" s="409" t="s">
        <v>4682</v>
      </c>
      <c r="F3307" s="409" t="s">
        <v>4683</v>
      </c>
      <c r="G3307" s="409" t="s">
        <v>4684</v>
      </c>
      <c r="H3307" s="465">
        <v>778.94028000000003</v>
      </c>
      <c r="I3307" s="465">
        <v>28.31259</v>
      </c>
      <c r="J3307" s="465">
        <v>94.933920000000001</v>
      </c>
      <c r="K3307" s="465">
        <v>11512.78299</v>
      </c>
      <c r="L3307" s="464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horné vedenie  3m strieborná</v>
      </c>
      <c r="C3308" s="185">
        <f t="shared" si="103"/>
        <v>22.639659999999999</v>
      </c>
      <c r="D3308" s="409" t="s">
        <v>3396</v>
      </c>
      <c r="E3308" s="409" t="s">
        <v>4610</v>
      </c>
      <c r="F3308" s="409" t="s">
        <v>4611</v>
      </c>
      <c r="G3308" s="409" t="s">
        <v>4612</v>
      </c>
      <c r="H3308" s="465">
        <v>622.86584000000005</v>
      </c>
      <c r="I3308" s="465">
        <v>22.639659999999999</v>
      </c>
      <c r="J3308" s="465">
        <v>80.48536</v>
      </c>
      <c r="K3308" s="465">
        <v>9205.9936899999993</v>
      </c>
      <c r="L3308" s="464" t="s">
        <v>695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horné vedenie  4m strieborná</v>
      </c>
      <c r="C3309" s="185">
        <f t="shared" si="103"/>
        <v>30.186219999999999</v>
      </c>
      <c r="D3309" s="409" t="s">
        <v>3397</v>
      </c>
      <c r="E3309" s="409" t="s">
        <v>4783</v>
      </c>
      <c r="F3309" s="409" t="s">
        <v>4784</v>
      </c>
      <c r="G3309" s="409" t="s">
        <v>2407</v>
      </c>
      <c r="H3309" s="465">
        <v>830.48779000000002</v>
      </c>
      <c r="I3309" s="465">
        <v>30.186219999999999</v>
      </c>
      <c r="J3309" s="465">
        <v>107.34003</v>
      </c>
      <c r="K3309" s="465">
        <v>12274.65825</v>
      </c>
      <c r="L3309" s="464" t="s">
        <v>695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horné vedenie  4m oliva</v>
      </c>
      <c r="C3310" s="185">
        <f t="shared" si="103"/>
        <v>37.732770000000002</v>
      </c>
      <c r="D3310" s="409" t="s">
        <v>3398</v>
      </c>
      <c r="E3310" s="409" t="s">
        <v>4847</v>
      </c>
      <c r="F3310" s="409" t="s">
        <v>4848</v>
      </c>
      <c r="G3310" s="409" t="s">
        <v>4849</v>
      </c>
      <c r="H3310" s="465">
        <v>1038.1097400000001</v>
      </c>
      <c r="I3310" s="465">
        <v>37.732770000000002</v>
      </c>
      <c r="J3310" s="465">
        <v>126.57856</v>
      </c>
      <c r="K3310" s="465">
        <v>15343.3228</v>
      </c>
      <c r="L3310" s="464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horné vedenie  6m oliva</v>
      </c>
      <c r="C3311" s="185">
        <f t="shared" si="103"/>
        <v>56.599159999999998</v>
      </c>
      <c r="D3311" s="409" t="s">
        <v>3399</v>
      </c>
      <c r="E3311" s="409" t="s">
        <v>4960</v>
      </c>
      <c r="F3311" s="409" t="s">
        <v>4961</v>
      </c>
      <c r="G3311" s="409" t="s">
        <v>4962</v>
      </c>
      <c r="H3311" s="465">
        <v>1557.16462</v>
      </c>
      <c r="I3311" s="465">
        <v>56.599159999999998</v>
      </c>
      <c r="J3311" s="465">
        <v>189.86785</v>
      </c>
      <c r="K3311" s="465">
        <v>23014.984410000001</v>
      </c>
      <c r="L3311" s="464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horné vedenie  6m strieborná</v>
      </c>
      <c r="C3312" s="185">
        <f t="shared" si="103"/>
        <v>44.897219999999997</v>
      </c>
      <c r="D3312" s="409" t="s">
        <v>3400</v>
      </c>
      <c r="E3312" s="409" t="s">
        <v>4946</v>
      </c>
      <c r="F3312" s="409" t="s">
        <v>4947</v>
      </c>
      <c r="G3312" s="409" t="s">
        <v>4948</v>
      </c>
      <c r="H3312" s="465">
        <v>1224.2893999999999</v>
      </c>
      <c r="I3312" s="465">
        <v>44.897219999999997</v>
      </c>
      <c r="J3312" s="465">
        <v>160.97072</v>
      </c>
      <c r="K3312" s="465">
        <v>17440.02</v>
      </c>
      <c r="L3312" s="464" t="s">
        <v>540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spodné vedenie  2m oliva</v>
      </c>
      <c r="C3313" s="185">
        <f t="shared" si="103"/>
        <v>10.096769999999999</v>
      </c>
      <c r="D3313" s="409" t="s">
        <v>3401</v>
      </c>
      <c r="E3313" s="409" t="s">
        <v>3979</v>
      </c>
      <c r="F3313" s="409" t="s">
        <v>3980</v>
      </c>
      <c r="G3313" s="409" t="s">
        <v>3981</v>
      </c>
      <c r="H3313" s="465">
        <v>277.78384999999997</v>
      </c>
      <c r="I3313" s="465">
        <v>10.096769999999999</v>
      </c>
      <c r="J3313" s="465">
        <v>37.583959999999998</v>
      </c>
      <c r="K3313" s="465">
        <v>4105.6616400000003</v>
      </c>
      <c r="L3313" s="464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spodné vedenie 1,5m strieborná</v>
      </c>
      <c r="C3314" s="185">
        <f t="shared" si="103"/>
        <v>6.0632700000000002</v>
      </c>
      <c r="D3314" s="409" t="s">
        <v>3402</v>
      </c>
      <c r="E3314" s="409" t="s">
        <v>3785</v>
      </c>
      <c r="F3314" s="409" t="s">
        <v>3786</v>
      </c>
      <c r="G3314" s="409" t="s">
        <v>3787</v>
      </c>
      <c r="H3314" s="465">
        <v>166.81349</v>
      </c>
      <c r="I3314" s="465">
        <v>6.0632700000000002</v>
      </c>
      <c r="J3314" s="465">
        <v>25.674769999999999</v>
      </c>
      <c r="K3314" s="465">
        <v>2465.51314</v>
      </c>
      <c r="L3314" s="464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spodné vedenie 2,5m oliva</v>
      </c>
      <c r="C3315" s="185">
        <f t="shared" si="103"/>
        <v>12.594939999999999</v>
      </c>
      <c r="D3315" s="409" t="s">
        <v>3403</v>
      </c>
      <c r="E3315" s="409" t="s">
        <v>4085</v>
      </c>
      <c r="F3315" s="409" t="s">
        <v>4086</v>
      </c>
      <c r="G3315" s="409" t="s">
        <v>4087</v>
      </c>
      <c r="H3315" s="465">
        <v>346.51386000000002</v>
      </c>
      <c r="I3315" s="465">
        <v>12.594939999999999</v>
      </c>
      <c r="J3315" s="465">
        <v>46.504049999999999</v>
      </c>
      <c r="K3315" s="465">
        <v>5121.4951899999996</v>
      </c>
      <c r="L3315" s="464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spodné vedenie 1,5m oliva</v>
      </c>
      <c r="C3316" s="185">
        <f t="shared" si="103"/>
        <v>7.5725800000000003</v>
      </c>
      <c r="D3316" s="409" t="s">
        <v>3404</v>
      </c>
      <c r="E3316" s="409" t="s">
        <v>3806</v>
      </c>
      <c r="F3316" s="409" t="s">
        <v>3807</v>
      </c>
      <c r="G3316" s="409" t="s">
        <v>3808</v>
      </c>
      <c r="H3316" s="465">
        <v>208.33788000000001</v>
      </c>
      <c r="I3316" s="465">
        <v>7.5725800000000003</v>
      </c>
      <c r="J3316" s="465">
        <v>28.695329999999998</v>
      </c>
      <c r="K3316" s="465">
        <v>3079.2461400000002</v>
      </c>
      <c r="L3316" s="464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spodné vedenie 2,5m strieborná</v>
      </c>
      <c r="C3317" s="185">
        <f t="shared" si="103"/>
        <v>10.096769999999999</v>
      </c>
      <c r="D3317" s="409" t="s">
        <v>3405</v>
      </c>
      <c r="E3317" s="409" t="s">
        <v>4025</v>
      </c>
      <c r="F3317" s="409" t="s">
        <v>4026</v>
      </c>
      <c r="G3317" s="409" t="s">
        <v>4027</v>
      </c>
      <c r="H3317" s="465">
        <v>277.78384999999997</v>
      </c>
      <c r="I3317" s="465">
        <v>10.096769999999999</v>
      </c>
      <c r="J3317" s="465">
        <v>41.627099999999999</v>
      </c>
      <c r="K3317" s="465">
        <v>4105.6616400000003</v>
      </c>
      <c r="L3317" s="464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spodné vedenie  3m strieborná</v>
      </c>
      <c r="C3318" s="185">
        <f t="shared" si="103"/>
        <v>12.10051</v>
      </c>
      <c r="D3318" s="409" t="s">
        <v>3406</v>
      </c>
      <c r="E3318" s="409" t="s">
        <v>4148</v>
      </c>
      <c r="F3318" s="409" t="s">
        <v>4149</v>
      </c>
      <c r="G3318" s="409" t="s">
        <v>4150</v>
      </c>
      <c r="H3318" s="465">
        <v>332.91107</v>
      </c>
      <c r="I3318" s="465">
        <v>12.10051</v>
      </c>
      <c r="J3318" s="465">
        <v>49.288629999999998</v>
      </c>
      <c r="K3318" s="465">
        <v>4920.4450999999999</v>
      </c>
      <c r="L3318" s="464" t="s">
        <v>695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spodné vedenie  3m oliva</v>
      </c>
      <c r="C3319" s="185">
        <f t="shared" si="103"/>
        <v>15.11913</v>
      </c>
      <c r="D3319" s="409" t="s">
        <v>3407</v>
      </c>
      <c r="E3319" s="409" t="s">
        <v>4228</v>
      </c>
      <c r="F3319" s="409" t="s">
        <v>4229</v>
      </c>
      <c r="G3319" s="409" t="s">
        <v>4230</v>
      </c>
      <c r="H3319" s="465">
        <v>415.95983000000001</v>
      </c>
      <c r="I3319" s="465">
        <v>15.11913</v>
      </c>
      <c r="J3319" s="465">
        <v>55.219630000000002</v>
      </c>
      <c r="K3319" s="465">
        <v>6147.9106899999997</v>
      </c>
      <c r="L3319" s="464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spodné vedenie  4m oliva</v>
      </c>
      <c r="C3320" s="185">
        <f t="shared" si="103"/>
        <v>20.16752</v>
      </c>
      <c r="D3320" s="409" t="s">
        <v>3408</v>
      </c>
      <c r="E3320" s="409" t="s">
        <v>4420</v>
      </c>
      <c r="F3320" s="409" t="s">
        <v>4421</v>
      </c>
      <c r="G3320" s="409" t="s">
        <v>4422</v>
      </c>
      <c r="H3320" s="465">
        <v>554.85176999999999</v>
      </c>
      <c r="I3320" s="465">
        <v>20.16752</v>
      </c>
      <c r="J3320" s="465">
        <v>73.594700000000003</v>
      </c>
      <c r="K3320" s="465">
        <v>8200.7417000000005</v>
      </c>
      <c r="L3320" s="464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spodné vedenie 6m oliva</v>
      </c>
      <c r="C3321" s="185">
        <f t="shared" si="103"/>
        <v>30.251270000000002</v>
      </c>
      <c r="D3321" s="409" t="s">
        <v>3409</v>
      </c>
      <c r="E3321" s="409" t="s">
        <v>4669</v>
      </c>
      <c r="F3321" s="409" t="s">
        <v>4670</v>
      </c>
      <c r="G3321" s="409" t="s">
        <v>4671</v>
      </c>
      <c r="H3321" s="465">
        <v>832.63559999999995</v>
      </c>
      <c r="I3321" s="465">
        <v>30.251270000000002</v>
      </c>
      <c r="J3321" s="465">
        <v>111.19439</v>
      </c>
      <c r="K3321" s="465">
        <v>12306.40294</v>
      </c>
      <c r="L3321" s="464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spodné vedenie  6m strieborná</v>
      </c>
      <c r="C3322" s="185">
        <f t="shared" si="103"/>
        <v>24.20102</v>
      </c>
      <c r="D3322" s="409" t="s">
        <v>3410</v>
      </c>
      <c r="E3322" s="409" t="s">
        <v>4633</v>
      </c>
      <c r="F3322" s="409" t="s">
        <v>4634</v>
      </c>
      <c r="G3322" s="409" t="s">
        <v>4635</v>
      </c>
      <c r="H3322" s="465">
        <v>665.82210999999995</v>
      </c>
      <c r="I3322" s="465">
        <v>24.20102</v>
      </c>
      <c r="J3322" s="465">
        <v>99.143609999999995</v>
      </c>
      <c r="K3322" s="465">
        <v>9840.8898000000008</v>
      </c>
      <c r="L3322" s="464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spodné vedenie  4m strieborná</v>
      </c>
      <c r="C3323" s="185">
        <f t="shared" si="103"/>
        <v>16.13401</v>
      </c>
      <c r="D3323" s="409" t="s">
        <v>3411</v>
      </c>
      <c r="E3323" s="409" t="s">
        <v>4360</v>
      </c>
      <c r="F3323" s="409" t="s">
        <v>4361</v>
      </c>
      <c r="G3323" s="409" t="s">
        <v>2408</v>
      </c>
      <c r="H3323" s="465">
        <v>443.88141000000002</v>
      </c>
      <c r="I3323" s="465">
        <v>16.13401</v>
      </c>
      <c r="J3323" s="465">
        <v>65.728660000000005</v>
      </c>
      <c r="K3323" s="465">
        <v>6560.5932000000003</v>
      </c>
      <c r="L3323" s="464" t="s">
        <v>695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upevňovací klin Blue 40ks (sklo 4mm)</v>
      </c>
      <c r="C3324" s="185">
        <f t="shared" si="103"/>
        <v>12.28267</v>
      </c>
      <c r="D3324" s="409" t="s">
        <v>3412</v>
      </c>
      <c r="E3324" s="409" t="s">
        <v>4212</v>
      </c>
      <c r="F3324" s="409" t="s">
        <v>4213</v>
      </c>
      <c r="G3324" s="409" t="s">
        <v>4214</v>
      </c>
      <c r="H3324" s="465">
        <v>362.49880000000002</v>
      </c>
      <c r="I3324" s="465">
        <v>12.28267</v>
      </c>
      <c r="J3324" s="465">
        <v>42.618220000000001</v>
      </c>
      <c r="K3324" s="465">
        <v>5034.15506</v>
      </c>
      <c r="L3324" s="464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spodné vedenie 1,5m strieborná</v>
      </c>
      <c r="C3325" s="185">
        <f t="shared" si="103"/>
        <v>5.3086099999999998</v>
      </c>
      <c r="D3325" s="409" t="s">
        <v>3413</v>
      </c>
      <c r="E3325" s="409" t="s">
        <v>3671</v>
      </c>
      <c r="F3325" s="409" t="s">
        <v>3672</v>
      </c>
      <c r="G3325" s="409" t="s">
        <v>3673</v>
      </c>
      <c r="H3325" s="465">
        <v>146.05128999999999</v>
      </c>
      <c r="I3325" s="465">
        <v>5.3086099999999998</v>
      </c>
      <c r="J3325" s="465">
        <v>21.61589</v>
      </c>
      <c r="K3325" s="465">
        <v>2158.6466399999999</v>
      </c>
      <c r="L3325" s="464" t="s">
        <v>539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spodné vedenie 1,5m oliva</v>
      </c>
      <c r="C3326" s="185">
        <f t="shared" si="103"/>
        <v>6.2194000000000003</v>
      </c>
      <c r="D3326" s="409" t="s">
        <v>3414</v>
      </c>
      <c r="E3326" s="409" t="s">
        <v>3712</v>
      </c>
      <c r="F3326" s="409" t="s">
        <v>3713</v>
      </c>
      <c r="G3326" s="409" t="s">
        <v>3714</v>
      </c>
      <c r="H3326" s="465">
        <v>171.10912999999999</v>
      </c>
      <c r="I3326" s="465">
        <v>6.2194000000000003</v>
      </c>
      <c r="J3326" s="465">
        <v>23.991430000000001</v>
      </c>
      <c r="K3326" s="465">
        <v>2529.0029</v>
      </c>
      <c r="L3326" s="464" t="s">
        <v>539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spodné vedenie 2m oliva</v>
      </c>
      <c r="C3327" s="185">
        <f t="shared" si="103"/>
        <v>8.1710999999999991</v>
      </c>
      <c r="D3327" s="409" t="s">
        <v>3415</v>
      </c>
      <c r="E3327" s="409" t="s">
        <v>3814</v>
      </c>
      <c r="F3327" s="409" t="s">
        <v>3815</v>
      </c>
      <c r="G3327" s="409" t="s">
        <v>3816</v>
      </c>
      <c r="H3327" s="465">
        <v>224.80444</v>
      </c>
      <c r="I3327" s="465">
        <v>8.1710999999999991</v>
      </c>
      <c r="J3327" s="465">
        <v>31.33832</v>
      </c>
      <c r="K3327" s="465">
        <v>3322.6228500000002</v>
      </c>
      <c r="L3327" s="464" t="s">
        <v>539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spodné vedenie 2,5m strieborná</v>
      </c>
      <c r="C3328" s="185">
        <f t="shared" si="103"/>
        <v>8.5614399999999993</v>
      </c>
      <c r="D3328" s="409" t="s">
        <v>3416</v>
      </c>
      <c r="E3328" s="409" t="s">
        <v>3869</v>
      </c>
      <c r="F3328" s="409" t="s">
        <v>3870</v>
      </c>
      <c r="G3328" s="409" t="s">
        <v>3871</v>
      </c>
      <c r="H3328" s="465">
        <v>235.54352</v>
      </c>
      <c r="I3328" s="465">
        <v>8.5614399999999993</v>
      </c>
      <c r="J3328" s="465">
        <v>34.783639999999998</v>
      </c>
      <c r="K3328" s="465">
        <v>3481.3470900000002</v>
      </c>
      <c r="L3328" s="464" t="s">
        <v>539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spodné vedenie 2,5m oliva</v>
      </c>
      <c r="C3329" s="185">
        <f t="shared" si="103"/>
        <v>10.04472</v>
      </c>
      <c r="D3329" s="409" t="s">
        <v>3417</v>
      </c>
      <c r="E3329" s="409" t="s">
        <v>3929</v>
      </c>
      <c r="F3329" s="409" t="s">
        <v>3930</v>
      </c>
      <c r="G3329" s="409" t="s">
        <v>3931</v>
      </c>
      <c r="H3329" s="465">
        <v>276.35198000000003</v>
      </c>
      <c r="I3329" s="465">
        <v>10.04472</v>
      </c>
      <c r="J3329" s="465">
        <v>38.62227</v>
      </c>
      <c r="K3329" s="465">
        <v>4084.4985000000001</v>
      </c>
      <c r="L3329" s="464" t="s">
        <v>539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spodné vedenie 3m strieborná</v>
      </c>
      <c r="C3330" s="185">
        <f t="shared" si="103"/>
        <v>10.04472</v>
      </c>
      <c r="D3330" s="409" t="s">
        <v>3418</v>
      </c>
      <c r="E3330" s="409" t="s">
        <v>3984</v>
      </c>
      <c r="F3330" s="409" t="s">
        <v>3985</v>
      </c>
      <c r="G3330" s="409" t="s">
        <v>3986</v>
      </c>
      <c r="H3330" s="465">
        <v>276.35198000000003</v>
      </c>
      <c r="I3330" s="465">
        <v>10.04472</v>
      </c>
      <c r="J3330" s="465">
        <v>40.997819999999997</v>
      </c>
      <c r="K3330" s="465">
        <v>4084.4985000000001</v>
      </c>
      <c r="L3330" s="464" t="s">
        <v>539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spodné vedenie 3m oliva</v>
      </c>
      <c r="C3331" s="185">
        <f t="shared" si="103"/>
        <v>11.9704</v>
      </c>
      <c r="D3331" s="409" t="s">
        <v>3419</v>
      </c>
      <c r="E3331" s="409" t="s">
        <v>4037</v>
      </c>
      <c r="F3331" s="409" t="s">
        <v>4038</v>
      </c>
      <c r="G3331" s="409" t="s">
        <v>4039</v>
      </c>
      <c r="H3331" s="465">
        <v>329.33136999999999</v>
      </c>
      <c r="I3331" s="465">
        <v>11.9704</v>
      </c>
      <c r="J3331" s="465">
        <v>45.780369999999998</v>
      </c>
      <c r="K3331" s="465">
        <v>4867.5369000000001</v>
      </c>
      <c r="L3331" s="464" t="s">
        <v>539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spodné vedenie 4m strieborná</v>
      </c>
      <c r="C3332" s="185">
        <f t="shared" ref="C3332:C3395" si="105">IF($A$2=1,H3332,IF($A$2=2,I3332,IF($A$2=3,J3332,IF($A$2=4,K3332,IF($A$2&gt;4,O3332,"zadat jazyk")))))</f>
        <v>13.45368</v>
      </c>
      <c r="D3332" s="409" t="s">
        <v>3420</v>
      </c>
      <c r="E3332" s="409" t="s">
        <v>4154</v>
      </c>
      <c r="F3332" s="409" t="s">
        <v>4155</v>
      </c>
      <c r="G3332" s="409" t="s">
        <v>4156</v>
      </c>
      <c r="H3332" s="465">
        <v>370.13983000000002</v>
      </c>
      <c r="I3332" s="465">
        <v>13.45368</v>
      </c>
      <c r="J3332" s="465">
        <v>54.590339999999998</v>
      </c>
      <c r="K3332" s="465">
        <v>5470.6883399999997</v>
      </c>
      <c r="L3332" s="464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spodné vedenie 4m oliva</v>
      </c>
      <c r="C3333" s="185">
        <f t="shared" si="105"/>
        <v>15.89981</v>
      </c>
      <c r="D3333" s="409" t="s">
        <v>3421</v>
      </c>
      <c r="E3333" s="409" t="s">
        <v>4225</v>
      </c>
      <c r="F3333" s="409" t="s">
        <v>4226</v>
      </c>
      <c r="G3333" s="409" t="s">
        <v>4227</v>
      </c>
      <c r="H3333" s="465">
        <v>437.43795999999998</v>
      </c>
      <c r="I3333" s="465">
        <v>15.89981</v>
      </c>
      <c r="J3333" s="465">
        <v>60.97757</v>
      </c>
      <c r="K3333" s="465">
        <v>6465.3587500000003</v>
      </c>
      <c r="L3333" s="464" t="s">
        <v>539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spodné vedenie 6m strieborná</v>
      </c>
      <c r="C3334" s="185">
        <f t="shared" si="105"/>
        <v>20.34967</v>
      </c>
      <c r="D3334" s="409" t="s">
        <v>3422</v>
      </c>
      <c r="E3334" s="409" t="s">
        <v>4446</v>
      </c>
      <c r="F3334" s="409" t="s">
        <v>4447</v>
      </c>
      <c r="G3334" s="409" t="s">
        <v>4448</v>
      </c>
      <c r="H3334" s="465">
        <v>559.86332000000004</v>
      </c>
      <c r="I3334" s="465">
        <v>20.34967</v>
      </c>
      <c r="J3334" s="465">
        <v>82.766509999999997</v>
      </c>
      <c r="K3334" s="465">
        <v>8274.8126400000001</v>
      </c>
      <c r="L3334" s="464" t="s">
        <v>539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spodné vedenie 6m oliva</v>
      </c>
      <c r="C3335" s="185">
        <f t="shared" si="105"/>
        <v>23.94079</v>
      </c>
      <c r="D3335" s="409" t="s">
        <v>3423</v>
      </c>
      <c r="E3335" s="409" t="s">
        <v>4498</v>
      </c>
      <c r="F3335" s="409" t="s">
        <v>4499</v>
      </c>
      <c r="G3335" s="409" t="s">
        <v>4500</v>
      </c>
      <c r="H3335" s="465">
        <v>658.66273000000001</v>
      </c>
      <c r="I3335" s="465">
        <v>23.94079</v>
      </c>
      <c r="J3335" s="465">
        <v>92.095640000000003</v>
      </c>
      <c r="K3335" s="465">
        <v>9735.0737900000004</v>
      </c>
      <c r="L3335" s="464" t="s">
        <v>539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horný vozík Blue 10mm asymetrický L+P</v>
      </c>
      <c r="C3336" s="185">
        <f t="shared" si="105"/>
        <v>3.64316</v>
      </c>
      <c r="D3336" s="409" t="s">
        <v>3424</v>
      </c>
      <c r="E3336" s="409" t="s">
        <v>3594</v>
      </c>
      <c r="F3336" s="409" t="s">
        <v>3595</v>
      </c>
      <c r="G3336" s="409" t="s">
        <v>3596</v>
      </c>
      <c r="H3336" s="465">
        <v>107.52083</v>
      </c>
      <c r="I3336" s="465">
        <v>3.64316</v>
      </c>
      <c r="J3336" s="465">
        <v>15.244389999999999</v>
      </c>
      <c r="K3336" s="465">
        <v>1493.1815999999999</v>
      </c>
      <c r="L3336" s="464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horný vozík Blue 10mm symetrický L+P</v>
      </c>
      <c r="C3337" s="185">
        <f t="shared" si="105"/>
        <v>3.64316</v>
      </c>
      <c r="D3337" s="409" t="s">
        <v>3425</v>
      </c>
      <c r="E3337" s="409" t="s">
        <v>5394</v>
      </c>
      <c r="F3337" s="409" t="s">
        <v>5395</v>
      </c>
      <c r="G3337" s="409" t="s">
        <v>5396</v>
      </c>
      <c r="H3337" s="465">
        <v>107.52083</v>
      </c>
      <c r="I3337" s="465">
        <v>3.64316</v>
      </c>
      <c r="J3337" s="465">
        <v>15.244389999999999</v>
      </c>
      <c r="K3337" s="465">
        <v>1493.1815999999999</v>
      </c>
      <c r="L3337" s="464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tlmič dorazu Simple/Blue 10/18 25kg L+P</v>
      </c>
      <c r="C3338" s="185">
        <f t="shared" si="105"/>
        <v>24.695450000000001</v>
      </c>
      <c r="D3338" s="409" t="s">
        <v>3426</v>
      </c>
      <c r="E3338" s="409" t="s">
        <v>4649</v>
      </c>
      <c r="F3338" s="409" t="s">
        <v>4650</v>
      </c>
      <c r="G3338" s="409" t="s">
        <v>4651</v>
      </c>
      <c r="H3338" s="465">
        <v>728.83765000000005</v>
      </c>
      <c r="I3338" s="465">
        <v>24.695450000000001</v>
      </c>
      <c r="J3338" s="465">
        <v>109.51739999999999</v>
      </c>
      <c r="K3338" s="465">
        <v>10121.63823</v>
      </c>
      <c r="L3338" s="464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spodné vedenie 6m strieborná</v>
      </c>
      <c r="C3339" s="185">
        <f t="shared" si="105"/>
        <v>29.171330000000001</v>
      </c>
      <c r="D3339" s="409" t="s">
        <v>3427</v>
      </c>
      <c r="E3339" s="409" t="s">
        <v>5222</v>
      </c>
      <c r="F3339" s="409" t="s">
        <v>5223</v>
      </c>
      <c r="G3339" s="409" t="s">
        <v>5224</v>
      </c>
      <c r="H3339" s="465">
        <v>811.32147999999995</v>
      </c>
      <c r="I3339" s="465">
        <v>29.171330000000001</v>
      </c>
      <c r="J3339" s="465">
        <v>110.4456</v>
      </c>
      <c r="K3339" s="465">
        <v>11626.61908</v>
      </c>
      <c r="L3339" s="464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spodné vedenie 6m oliva</v>
      </c>
      <c r="C3340" s="185">
        <f t="shared" si="105"/>
        <v>36.691870000000002</v>
      </c>
      <c r="D3340" s="409" t="s">
        <v>3428</v>
      </c>
      <c r="E3340" s="409" t="s">
        <v>4850</v>
      </c>
      <c r="F3340" s="409" t="s">
        <v>4851</v>
      </c>
      <c r="G3340" s="409" t="s">
        <v>4852</v>
      </c>
      <c r="H3340" s="465">
        <v>1020.48465</v>
      </c>
      <c r="I3340" s="465">
        <v>36.691870000000002</v>
      </c>
      <c r="J3340" s="465">
        <v>137.86320000000001</v>
      </c>
      <c r="K3340" s="465">
        <v>14624.02583</v>
      </c>
      <c r="L3340" s="464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U profil oceľový 6m strieborný</v>
      </c>
      <c r="C3341" s="185">
        <f t="shared" si="105"/>
        <v>51.811</v>
      </c>
      <c r="D3341" s="409" t="s">
        <v>1694</v>
      </c>
      <c r="E3341" s="409" t="s">
        <v>2121</v>
      </c>
      <c r="F3341" s="409" t="s">
        <v>2297</v>
      </c>
      <c r="G3341" s="409" t="s">
        <v>6122</v>
      </c>
      <c r="H3341" s="465">
        <v>1373.59816</v>
      </c>
      <c r="I3341" s="465">
        <v>51.811</v>
      </c>
      <c r="J3341" s="465">
        <v>176.7646</v>
      </c>
      <c r="K3341" s="465">
        <v>20064.732769999999</v>
      </c>
      <c r="L3341" s="464" t="s">
        <v>539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zámok na posuvné dvere 18 mm (rovnaký kľúč)</v>
      </c>
      <c r="C3342" s="185">
        <f t="shared" si="105"/>
        <v>15.847759999999999</v>
      </c>
      <c r="D3342" s="409" t="s">
        <v>3429</v>
      </c>
      <c r="E3342" s="409" t="s">
        <v>4369</v>
      </c>
      <c r="F3342" s="409" t="s">
        <v>4370</v>
      </c>
      <c r="G3342" s="409" t="s">
        <v>4371</v>
      </c>
      <c r="H3342" s="465">
        <v>467.71562999999998</v>
      </c>
      <c r="I3342" s="465">
        <v>15.847759999999999</v>
      </c>
      <c r="J3342" s="465">
        <v>66.84</v>
      </c>
      <c r="K3342" s="465">
        <v>6495.3400199999996</v>
      </c>
      <c r="L3342" s="464" t="s">
        <v>539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spodné vedenie 1,7m biela lesk</v>
      </c>
      <c r="C3343" s="185">
        <f t="shared" si="105"/>
        <v>10.51313</v>
      </c>
      <c r="D3343" s="409" t="s">
        <v>3430</v>
      </c>
      <c r="E3343" s="409" t="s">
        <v>4142</v>
      </c>
      <c r="F3343" s="409" t="s">
        <v>4143</v>
      </c>
      <c r="G3343" s="409" t="s">
        <v>4144</v>
      </c>
      <c r="H3343" s="465">
        <v>292.39416999999997</v>
      </c>
      <c r="I3343" s="465">
        <v>10.51313</v>
      </c>
      <c r="J3343" s="465">
        <v>41.921999999999997</v>
      </c>
      <c r="K3343" s="465">
        <v>4190.14624</v>
      </c>
      <c r="L3343" s="464" t="s">
        <v>539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spodné vedenie 2,35m biela lesk</v>
      </c>
      <c r="C3344" s="185">
        <f t="shared" si="105"/>
        <v>14.572660000000001</v>
      </c>
      <c r="D3344" s="409" t="s">
        <v>3431</v>
      </c>
      <c r="E3344" s="409" t="s">
        <v>4376</v>
      </c>
      <c r="F3344" s="409" t="s">
        <v>4377</v>
      </c>
      <c r="G3344" s="409" t="s">
        <v>4378</v>
      </c>
      <c r="H3344" s="465">
        <v>404.57512000000003</v>
      </c>
      <c r="I3344" s="465">
        <v>14.572660000000001</v>
      </c>
      <c r="J3344" s="465">
        <v>57.9054</v>
      </c>
      <c r="K3344" s="465">
        <v>5797.7521299999999</v>
      </c>
      <c r="L3344" s="464" t="s">
        <v>539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spodné vedenie 3m biela lesk</v>
      </c>
      <c r="C3345" s="185">
        <f t="shared" si="105"/>
        <v>18.58014</v>
      </c>
      <c r="D3345" s="409" t="s">
        <v>3432</v>
      </c>
      <c r="E3345" s="409" t="s">
        <v>4540</v>
      </c>
      <c r="F3345" s="409" t="s">
        <v>4541</v>
      </c>
      <c r="G3345" s="409" t="s">
        <v>4542</v>
      </c>
      <c r="H3345" s="465">
        <v>516.75604999999996</v>
      </c>
      <c r="I3345" s="465">
        <v>18.58014</v>
      </c>
      <c r="J3345" s="465">
        <v>73.929599999999994</v>
      </c>
      <c r="K3345" s="465">
        <v>7405.3575899999996</v>
      </c>
      <c r="L3345" s="464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spodné vedenie 4,05m biela lesk</v>
      </c>
      <c r="C3346" s="185">
        <f t="shared" si="105"/>
        <v>25.059760000000001</v>
      </c>
      <c r="D3346" s="409" t="s">
        <v>3433</v>
      </c>
      <c r="E3346" s="409" t="s">
        <v>4736</v>
      </c>
      <c r="F3346" s="409" t="s">
        <v>4737</v>
      </c>
      <c r="G3346" s="409" t="s">
        <v>4738</v>
      </c>
      <c r="H3346" s="465">
        <v>696.96929999999998</v>
      </c>
      <c r="I3346" s="465">
        <v>25.059760000000001</v>
      </c>
      <c r="J3346" s="465">
        <v>99.8172</v>
      </c>
      <c r="K3346" s="465">
        <v>9987.8983700000008</v>
      </c>
      <c r="L3346" s="464" t="s">
        <v>539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spodné vedenie 6m biela lesk</v>
      </c>
      <c r="C3347" s="185">
        <f t="shared" si="105"/>
        <v>37.186300000000003</v>
      </c>
      <c r="D3347" s="409" t="s">
        <v>3434</v>
      </c>
      <c r="E3347" s="409" t="s">
        <v>4922</v>
      </c>
      <c r="F3347" s="409" t="s">
        <v>4923</v>
      </c>
      <c r="G3347" s="409" t="s">
        <v>4924</v>
      </c>
      <c r="H3347" s="465">
        <v>1034.23587</v>
      </c>
      <c r="I3347" s="465">
        <v>37.186300000000003</v>
      </c>
      <c r="J3347" s="465">
        <v>147.88980000000001</v>
      </c>
      <c r="K3347" s="465">
        <v>14821.0872</v>
      </c>
      <c r="L3347" s="464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tlmič dorazu Mini SV60 (40 - 60kg)</v>
      </c>
      <c r="C3348" s="185">
        <f t="shared" si="105"/>
        <v>22.951930000000001</v>
      </c>
      <c r="D3348" s="409" t="s">
        <v>4598</v>
      </c>
      <c r="E3348" s="409" t="s">
        <v>4599</v>
      </c>
      <c r="F3348" s="409" t="s">
        <v>4600</v>
      </c>
      <c r="G3348" s="409" t="s">
        <v>4601</v>
      </c>
      <c r="H3348" s="465">
        <v>677.38124000000005</v>
      </c>
      <c r="I3348" s="465">
        <v>22.951930000000001</v>
      </c>
      <c r="J3348" s="465">
        <v>96.889799999999994</v>
      </c>
      <c r="K3348" s="465">
        <v>9407.0440500000004</v>
      </c>
      <c r="L3348" s="464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šablóna pre vozíky - 1 pár = 1 ks</v>
      </c>
      <c r="C3349" s="185">
        <f t="shared" si="105"/>
        <v>5.3261599999999998</v>
      </c>
      <c r="D3349" s="409" t="s">
        <v>3435</v>
      </c>
      <c r="E3349" s="409" t="s">
        <v>5734</v>
      </c>
      <c r="F3349" s="409" t="s">
        <v>5735</v>
      </c>
      <c r="G3349" s="409" t="s">
        <v>5736</v>
      </c>
      <c r="H3349" s="465">
        <v>133.63460000000001</v>
      </c>
      <c r="I3349" s="465">
        <v>5.3261599999999998</v>
      </c>
      <c r="J3349" s="465">
        <v>23.25816</v>
      </c>
      <c r="K3349" s="465">
        <v>2169.2782900000002</v>
      </c>
      <c r="L3349" s="464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horné vedenie 3,6m surová</v>
      </c>
      <c r="C3350" s="185">
        <f t="shared" si="105"/>
        <v>46.47636</v>
      </c>
      <c r="D3350" s="409" t="s">
        <v>3436</v>
      </c>
      <c r="E3350" s="409" t="s">
        <v>4879</v>
      </c>
      <c r="F3350" s="409" t="s">
        <v>4880</v>
      </c>
      <c r="G3350" s="409" t="s">
        <v>4881</v>
      </c>
      <c r="H3350" s="465">
        <v>1232.1679300000001</v>
      </c>
      <c r="I3350" s="465">
        <v>46.47636</v>
      </c>
      <c r="J3350" s="465">
        <v>158.56433000000001</v>
      </c>
      <c r="K3350" s="465">
        <v>17998.801149999999</v>
      </c>
      <c r="L3350" s="464" t="s">
        <v>539</v>
      </c>
      <c r="O3350">
        <v>41.36</v>
      </c>
      <c r="P3350" t="s">
        <v>9268</v>
      </c>
    </row>
    <row r="3351" spans="1:16" ht="14.4" x14ac:dyDescent="0.3">
      <c r="A3351">
        <v>358263</v>
      </c>
      <c r="B3351" t="str">
        <f t="shared" si="104"/>
        <v>SEVROLL Prosper II úchytová lišta 2,8m oliva</v>
      </c>
      <c r="C3351" s="185" t="e">
        <f t="shared" si="105"/>
        <v>#N/A</v>
      </c>
      <c r="D3351" s="409" t="s">
        <v>1406</v>
      </c>
      <c r="E3351" s="409" t="s">
        <v>1850</v>
      </c>
      <c r="F3351" s="409" t="s">
        <v>1406</v>
      </c>
      <c r="G3351" s="409" t="s">
        <v>2404</v>
      </c>
      <c r="H3351" s="465" t="e">
        <v>#N/A</v>
      </c>
      <c r="I3351" s="465" t="e">
        <v>#N/A</v>
      </c>
      <c r="J3351" s="465" t="e">
        <v>#N/A</v>
      </c>
      <c r="K3351" s="465" t="e">
        <v>#N/A</v>
      </c>
      <c r="L3351" s="464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nalepovacia úchytka transparentná</v>
      </c>
      <c r="C3352" s="185">
        <f t="shared" si="105"/>
        <v>6.9740599999999997</v>
      </c>
      <c r="D3352" s="409" t="s">
        <v>3437</v>
      </c>
      <c r="E3352" s="409" t="s">
        <v>3943</v>
      </c>
      <c r="F3352" s="409" t="s">
        <v>3944</v>
      </c>
      <c r="G3352" s="409" t="s">
        <v>3945</v>
      </c>
      <c r="H3352" s="465">
        <v>193.96446</v>
      </c>
      <c r="I3352" s="465">
        <v>6.9740599999999997</v>
      </c>
      <c r="J3352" s="465">
        <v>24.255600000000001</v>
      </c>
      <c r="K3352" s="465">
        <v>2779.6021500000002</v>
      </c>
      <c r="L3352" s="464" t="s">
        <v>539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profil "U" pre lamino 18mm 3m biela lesk</v>
      </c>
      <c r="C3353" s="185">
        <f t="shared" si="105"/>
        <v>6.1933800000000003</v>
      </c>
      <c r="D3353" s="409" t="s">
        <v>3438</v>
      </c>
      <c r="E3353" s="409" t="s">
        <v>3796</v>
      </c>
      <c r="F3353" s="409" t="s">
        <v>3797</v>
      </c>
      <c r="G3353" s="409" t="s">
        <v>3798</v>
      </c>
      <c r="H3353" s="465">
        <v>172.25201999999999</v>
      </c>
      <c r="I3353" s="465">
        <v>6.1933800000000003</v>
      </c>
      <c r="J3353" s="465">
        <v>27.009599999999999</v>
      </c>
      <c r="K3353" s="465">
        <v>2468.4526700000001</v>
      </c>
      <c r="L3353" s="464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dorazový (protiprachový) kartáč samolepiaci 6,7x9mm šedý</v>
      </c>
      <c r="C3354" s="185">
        <f t="shared" si="105"/>
        <v>0.39034000000000002</v>
      </c>
      <c r="D3354" s="409" t="s">
        <v>5121</v>
      </c>
      <c r="E3354" s="409" t="s">
        <v>5122</v>
      </c>
      <c r="F3354" s="409" t="s">
        <v>5123</v>
      </c>
      <c r="G3354" s="409" t="s">
        <v>5124</v>
      </c>
      <c r="H3354" s="465">
        <v>11.520099999999999</v>
      </c>
      <c r="I3354" s="465">
        <v>0.39034000000000002</v>
      </c>
      <c r="J3354" s="465">
        <v>1.581</v>
      </c>
      <c r="K3354" s="465">
        <v>159.98396</v>
      </c>
      <c r="L3354" s="464" t="s">
        <v>695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spodný vozík WD18V bez pozicionéru s pružinou</v>
      </c>
      <c r="C3355" s="185">
        <f t="shared" si="105"/>
        <v>5.2305400000000004</v>
      </c>
      <c r="D3355" s="409" t="s">
        <v>3439</v>
      </c>
      <c r="E3355" s="409" t="s">
        <v>5097</v>
      </c>
      <c r="F3355" s="409" t="s">
        <v>5098</v>
      </c>
      <c r="G3355" s="409" t="s">
        <v>5099</v>
      </c>
      <c r="H3355" s="465">
        <v>154.36919</v>
      </c>
      <c r="I3355" s="465">
        <v>5.2305400000000004</v>
      </c>
      <c r="J3355" s="465">
        <v>24.316800000000001</v>
      </c>
      <c r="K3355" s="465">
        <v>2143.7821199999998</v>
      </c>
      <c r="L3355" s="464" t="s">
        <v>695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spodný vozík pre lamino 18mm bez pozicionéru bez pružiny</v>
      </c>
      <c r="C3356" s="185">
        <f t="shared" si="105"/>
        <v>4.9182699999999997</v>
      </c>
      <c r="D3356" s="409" t="s">
        <v>3440</v>
      </c>
      <c r="E3356" s="409" t="s">
        <v>3692</v>
      </c>
      <c r="F3356" s="409" t="s">
        <v>3693</v>
      </c>
      <c r="G3356" s="409" t="s">
        <v>3694</v>
      </c>
      <c r="H3356" s="465">
        <v>145.15313</v>
      </c>
      <c r="I3356" s="465">
        <v>4.9182699999999997</v>
      </c>
      <c r="J3356" s="465">
        <v>18.35596</v>
      </c>
      <c r="K3356" s="465">
        <v>2015.79521</v>
      </c>
      <c r="L3356" s="464" t="s">
        <v>695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úchytová lišta 2,7m biela lesk</v>
      </c>
      <c r="C3357" s="185">
        <f t="shared" si="105"/>
        <v>30.472460000000002</v>
      </c>
      <c r="D3357" s="409" t="s">
        <v>1324</v>
      </c>
      <c r="E3357" s="409" t="s">
        <v>1775</v>
      </c>
      <c r="F3357" s="409" t="s">
        <v>5783</v>
      </c>
      <c r="G3357" s="409" t="s">
        <v>2354</v>
      </c>
      <c r="H3357" s="465">
        <v>847.50887999999998</v>
      </c>
      <c r="I3357" s="465">
        <v>30.472460000000002</v>
      </c>
      <c r="J3357" s="465">
        <v>116.8716</v>
      </c>
      <c r="K3357" s="465">
        <v>12145.20156</v>
      </c>
      <c r="L3357" s="464" t="s">
        <v>539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zámok na posuvné dvere pre madlo Karat a Prosper</v>
      </c>
      <c r="C3358" s="185">
        <f t="shared" si="105"/>
        <v>36.512309999999999</v>
      </c>
      <c r="D3358" s="409" t="s">
        <v>3441</v>
      </c>
      <c r="E3358" s="409" t="s">
        <v>4806</v>
      </c>
      <c r="F3358" s="409" t="s">
        <v>4807</v>
      </c>
      <c r="G3358" s="409" t="s">
        <v>4808</v>
      </c>
      <c r="H3358" s="465">
        <v>1077.51234</v>
      </c>
      <c r="I3358" s="465">
        <v>36.512309999999999</v>
      </c>
      <c r="J3358" s="465">
        <v>134.51759999999999</v>
      </c>
      <c r="K3358" s="465">
        <v>14963.812690000001</v>
      </c>
      <c r="L3358" s="464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okrasná lišta S18 s lepidlom 3m biela lesk</v>
      </c>
      <c r="C3359" s="185">
        <f t="shared" si="105"/>
        <v>14.962999999999999</v>
      </c>
      <c r="D3359" s="409" t="s">
        <v>3442</v>
      </c>
      <c r="E3359" s="409" t="s">
        <v>4188</v>
      </c>
      <c r="F3359" s="409" t="s">
        <v>4189</v>
      </c>
      <c r="G3359" s="409" t="s">
        <v>4190</v>
      </c>
      <c r="H3359" s="465">
        <v>416.1551</v>
      </c>
      <c r="I3359" s="465">
        <v>14.962999999999999</v>
      </c>
      <c r="J3359" s="465">
        <v>51.453940000000003</v>
      </c>
      <c r="K3359" s="465">
        <v>5963.69866</v>
      </c>
      <c r="L3359" s="464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horné vedenie 6m oliva</v>
      </c>
      <c r="C3360" s="185">
        <f t="shared" si="105"/>
        <v>64.327870000000004</v>
      </c>
      <c r="D3360" s="409" t="s">
        <v>1472</v>
      </c>
      <c r="E3360" s="409" t="s">
        <v>1902</v>
      </c>
      <c r="F3360" s="409" t="s">
        <v>5973</v>
      </c>
      <c r="G3360" s="409" t="s">
        <v>2431</v>
      </c>
      <c r="H3360" s="465">
        <v>1789.105</v>
      </c>
      <c r="I3360" s="465">
        <v>64.327870000000004</v>
      </c>
      <c r="J3360" s="465">
        <v>221.20722000000001</v>
      </c>
      <c r="K3360" s="465">
        <v>25638.717519999998</v>
      </c>
      <c r="L3360" s="464" t="s">
        <v>539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spodný vozík WD10 V Duo 60kg (2 ks)</v>
      </c>
      <c r="C3361" s="185">
        <f t="shared" si="105"/>
        <v>18.632180000000002</v>
      </c>
      <c r="D3361" s="409" t="s">
        <v>1473</v>
      </c>
      <c r="E3361" s="409" t="s">
        <v>1903</v>
      </c>
      <c r="F3361" s="409" t="s">
        <v>5974</v>
      </c>
      <c r="G3361" s="409" t="s">
        <v>2432</v>
      </c>
      <c r="H3361" s="465">
        <v>549.89227000000005</v>
      </c>
      <c r="I3361" s="465">
        <v>18.632180000000002</v>
      </c>
      <c r="J3361" s="465">
        <v>65.147400000000005</v>
      </c>
      <c r="K3361" s="465">
        <v>7636.5575200000003</v>
      </c>
      <c r="L3361" s="464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úchytová lišta 2,7m strieborná</v>
      </c>
      <c r="C3362" s="185">
        <f t="shared" si="105"/>
        <v>24.79954</v>
      </c>
      <c r="D3362" s="409" t="s">
        <v>1295</v>
      </c>
      <c r="E3362" s="409" t="s">
        <v>1748</v>
      </c>
      <c r="F3362" s="409" t="s">
        <v>5759</v>
      </c>
      <c r="G3362" s="409" t="s">
        <v>2328</v>
      </c>
      <c r="H3362" s="465">
        <v>689.73181999999997</v>
      </c>
      <c r="I3362" s="465">
        <v>24.79954</v>
      </c>
      <c r="J3362" s="465">
        <v>94.757999999999996</v>
      </c>
      <c r="K3362" s="465">
        <v>9884.1818800000001</v>
      </c>
      <c r="L3362" s="464" t="s">
        <v>539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Ekonomik úchytová lišta 2,7m strieborná</v>
      </c>
      <c r="C3363" s="185">
        <f t="shared" si="105"/>
        <v>12.41278</v>
      </c>
      <c r="D3363" s="409" t="s">
        <v>1296</v>
      </c>
      <c r="E3363" s="409" t="s">
        <v>1749</v>
      </c>
      <c r="F3363" s="409" t="s">
        <v>5760</v>
      </c>
      <c r="G3363" s="409" t="s">
        <v>2329</v>
      </c>
      <c r="H3363" s="465">
        <v>345.22779000000003</v>
      </c>
      <c r="I3363" s="465">
        <v>12.41278</v>
      </c>
      <c r="J3363" s="465">
        <v>42.68439</v>
      </c>
      <c r="K3363" s="465">
        <v>4947.2769399999997</v>
      </c>
      <c r="L3363" s="464" t="s">
        <v>539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Ekonomik horné vedenie 2m strieborná</v>
      </c>
      <c r="C3364" s="185">
        <f t="shared" si="105"/>
        <v>17.044799999999999</v>
      </c>
      <c r="D3364" s="409" t="s">
        <v>1297</v>
      </c>
      <c r="E3364" s="409" t="s">
        <v>1750</v>
      </c>
      <c r="F3364" s="409" t="s">
        <v>5761</v>
      </c>
      <c r="G3364" s="409" t="s">
        <v>2330</v>
      </c>
      <c r="H3364" s="465">
        <v>474.05493999999999</v>
      </c>
      <c r="I3364" s="465">
        <v>17.044799999999999</v>
      </c>
      <c r="J3364" s="465">
        <v>59.374200000000002</v>
      </c>
      <c r="K3364" s="465">
        <v>6793.4306200000001</v>
      </c>
      <c r="L3364" s="464" t="s">
        <v>539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Ekonomik horné vedenie 3m strieborná</v>
      </c>
      <c r="C3365" s="185">
        <f t="shared" si="105"/>
        <v>25.528169999999999</v>
      </c>
      <c r="D3365" s="409" t="s">
        <v>1298</v>
      </c>
      <c r="E3365" s="409" t="s">
        <v>1751</v>
      </c>
      <c r="F3365" s="409" t="s">
        <v>5762</v>
      </c>
      <c r="G3365" s="409" t="s">
        <v>2331</v>
      </c>
      <c r="H3365" s="465">
        <v>709.99676999999997</v>
      </c>
      <c r="I3365" s="465">
        <v>25.528169999999999</v>
      </c>
      <c r="J3365" s="465">
        <v>89.086799999999997</v>
      </c>
      <c r="K3365" s="465">
        <v>10174.58813</v>
      </c>
      <c r="L3365" s="464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Ekonomik horné vedenie 6m strieborná</v>
      </c>
      <c r="C3366" s="185">
        <f t="shared" si="105"/>
        <v>51.056339999999999</v>
      </c>
      <c r="D3366" s="409" t="s">
        <v>1299</v>
      </c>
      <c r="E3366" s="409" t="s">
        <v>1752</v>
      </c>
      <c r="F3366" s="409" t="s">
        <v>5763</v>
      </c>
      <c r="G3366" s="409" t="s">
        <v>2332</v>
      </c>
      <c r="H3366" s="465">
        <v>1419.99353</v>
      </c>
      <c r="I3366" s="465">
        <v>51.056339999999999</v>
      </c>
      <c r="J3366" s="465">
        <v>178.143</v>
      </c>
      <c r="K3366" s="465">
        <v>20349.17626</v>
      </c>
      <c r="L3366" s="464" t="s">
        <v>539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Ekonomik spodné vedenie 2m strieborná</v>
      </c>
      <c r="C3367" s="185">
        <f t="shared" si="105"/>
        <v>9.3421099999999999</v>
      </c>
      <c r="D3367" s="409" t="s">
        <v>1300</v>
      </c>
      <c r="E3367" s="409" t="s">
        <v>1753</v>
      </c>
      <c r="F3367" s="409" t="s">
        <v>5764</v>
      </c>
      <c r="G3367" s="409" t="s">
        <v>2333</v>
      </c>
      <c r="H3367" s="465">
        <v>259.82553000000001</v>
      </c>
      <c r="I3367" s="465">
        <v>9.3421099999999999</v>
      </c>
      <c r="J3367" s="465">
        <v>32.823599999999999</v>
      </c>
      <c r="K3367" s="465">
        <v>3723.4222199999999</v>
      </c>
      <c r="L3367" s="464" t="s">
        <v>539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Ekonomik spodné vedenie 3m strieborná</v>
      </c>
      <c r="C3368" s="185">
        <f t="shared" si="105"/>
        <v>14.10425</v>
      </c>
      <c r="D3368" s="409" t="s">
        <v>1301</v>
      </c>
      <c r="E3368" s="409" t="s">
        <v>1754</v>
      </c>
      <c r="F3368" s="409" t="s">
        <v>5765</v>
      </c>
      <c r="G3368" s="409" t="s">
        <v>2334</v>
      </c>
      <c r="H3368" s="465">
        <v>392.27140000000003</v>
      </c>
      <c r="I3368" s="465">
        <v>14.10425</v>
      </c>
      <c r="J3368" s="465">
        <v>49.225200000000001</v>
      </c>
      <c r="K3368" s="465">
        <v>5621.4339499999996</v>
      </c>
      <c r="L3368" s="464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str">
        <f t="shared" si="104"/>
        <v>SEVROLL 02895 Ekonomik spodné vedenie 6m strieborná</v>
      </c>
      <c r="C3369" s="185" t="e">
        <f t="shared" si="105"/>
        <v>#N/A</v>
      </c>
      <c r="D3369" s="409" t="s">
        <v>1302</v>
      </c>
      <c r="E3369" s="409" t="s">
        <v>1755</v>
      </c>
      <c r="F3369" s="409" t="s">
        <v>5766</v>
      </c>
      <c r="G3369" s="409" t="s">
        <v>2335</v>
      </c>
      <c r="H3369" s="465" t="e">
        <v>#N/A</v>
      </c>
      <c r="I3369" s="465" t="e">
        <v>#N/A</v>
      </c>
      <c r="J3369" s="465" t="e">
        <v>#N/A</v>
      </c>
      <c r="K3369" s="465" t="e">
        <v>#N/A</v>
      </c>
      <c r="L3369" s="464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horný vozík Ekonomik Duo</v>
      </c>
      <c r="C3370" s="185">
        <f t="shared" si="105"/>
        <v>2.02976</v>
      </c>
      <c r="D3370" s="409" t="s">
        <v>1303</v>
      </c>
      <c r="E3370" s="409" t="s">
        <v>1756</v>
      </c>
      <c r="F3370" s="409" t="s">
        <v>5767</v>
      </c>
      <c r="G3370" s="409" t="s">
        <v>2336</v>
      </c>
      <c r="H3370" s="465">
        <v>59.904470000000003</v>
      </c>
      <c r="I3370" s="465">
        <v>2.02976</v>
      </c>
      <c r="J3370" s="465">
        <v>6.8120000000000003</v>
      </c>
      <c r="K3370" s="465">
        <v>831.91556000000003</v>
      </c>
      <c r="L3370" s="464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spodný vozík Ekonomik WD10V</v>
      </c>
      <c r="C3371" s="185">
        <f t="shared" si="105"/>
        <v>3.4349799999999999</v>
      </c>
      <c r="D3371" s="409" t="s">
        <v>1304</v>
      </c>
      <c r="E3371" s="409" t="s">
        <v>1757</v>
      </c>
      <c r="F3371" s="409" t="s">
        <v>5768</v>
      </c>
      <c r="G3371" s="409" t="s">
        <v>2337</v>
      </c>
      <c r="H3371" s="465">
        <v>101.37678</v>
      </c>
      <c r="I3371" s="465">
        <v>3.4349799999999999</v>
      </c>
      <c r="J3371" s="465">
        <v>11.543100000000001</v>
      </c>
      <c r="K3371" s="465">
        <v>1407.8568700000001</v>
      </c>
      <c r="L3371" s="464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skrutka 2,9x6,5 Ekonomik (100 ks)</v>
      </c>
      <c r="C3372" s="185">
        <f t="shared" si="105"/>
        <v>2.23794</v>
      </c>
      <c r="D3372" s="409" t="s">
        <v>1305</v>
      </c>
      <c r="E3372" s="409" t="s">
        <v>1758</v>
      </c>
      <c r="F3372" s="409" t="s">
        <v>5769</v>
      </c>
      <c r="G3372" s="409" t="s">
        <v>2338</v>
      </c>
      <c r="H3372" s="465">
        <v>66.048519999999996</v>
      </c>
      <c r="I3372" s="465">
        <v>2.23794</v>
      </c>
      <c r="J3372" s="465">
        <v>8.67</v>
      </c>
      <c r="K3372" s="465">
        <v>917.24030000000005</v>
      </c>
      <c r="L3372" s="464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Ekonomik sada kovania pre 2 dvere</v>
      </c>
      <c r="C3373" s="185">
        <f t="shared" si="105"/>
        <v>0</v>
      </c>
      <c r="D3373" s="409" t="s">
        <v>1306</v>
      </c>
      <c r="E3373" s="409" t="s">
        <v>1759</v>
      </c>
      <c r="F3373" s="409" t="s">
        <v>5770</v>
      </c>
      <c r="G3373" s="409" t="s">
        <v>2339</v>
      </c>
      <c r="H3373" s="465">
        <v>0</v>
      </c>
      <c r="I3373" s="465">
        <v>0</v>
      </c>
      <c r="J3373" s="465">
        <v>0</v>
      </c>
      <c r="K3373" s="465">
        <v>0</v>
      </c>
      <c r="L3373" s="464" t="s">
        <v>540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vrut Unix 3x10 zápustná hlava (1000 ks)</v>
      </c>
      <c r="C3374" s="185">
        <f t="shared" si="105"/>
        <v>13.089370000000001</v>
      </c>
      <c r="D3374" s="409" t="s">
        <v>1307</v>
      </c>
      <c r="E3374" s="409" t="s">
        <v>1760</v>
      </c>
      <c r="F3374" s="409" t="s">
        <v>1307</v>
      </c>
      <c r="G3374" s="409" t="s">
        <v>2340</v>
      </c>
      <c r="H3374" s="465">
        <v>386.30698000000001</v>
      </c>
      <c r="I3374" s="465">
        <v>13.089370000000001</v>
      </c>
      <c r="J3374" s="465">
        <v>43.774999999999999</v>
      </c>
      <c r="K3374" s="465">
        <v>5364.7880800000003</v>
      </c>
      <c r="L3374" s="464" t="s">
        <v>539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vrut Unix 3x16mm zápustná hlava (100 ks)</v>
      </c>
      <c r="C3375" s="185">
        <f t="shared" si="105"/>
        <v>1.27511</v>
      </c>
      <c r="D3375" s="409" t="s">
        <v>1308</v>
      </c>
      <c r="E3375" s="409" t="s">
        <v>1761</v>
      </c>
      <c r="F3375" s="409" t="s">
        <v>1308</v>
      </c>
      <c r="G3375" s="409" t="s">
        <v>2341</v>
      </c>
      <c r="H3375" s="465">
        <v>37.632289999999998</v>
      </c>
      <c r="I3375" s="465">
        <v>1.27511</v>
      </c>
      <c r="J3375" s="465">
        <v>4.3362999999999996</v>
      </c>
      <c r="K3375" s="465">
        <v>522.61360999999999</v>
      </c>
      <c r="L3375" s="464" t="s">
        <v>539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podložka Vejárová 3x6mm (100 ks)</v>
      </c>
      <c r="C3376" s="185">
        <f t="shared" si="105"/>
        <v>5.1524700000000001</v>
      </c>
      <c r="D3376" s="409" t="s">
        <v>1309</v>
      </c>
      <c r="E3376" s="409" t="s">
        <v>1762</v>
      </c>
      <c r="F3376" s="409" t="s">
        <v>5771</v>
      </c>
      <c r="G3376" s="409" t="s">
        <v>2342</v>
      </c>
      <c r="H3376" s="465">
        <v>143.30211</v>
      </c>
      <c r="I3376" s="465">
        <v>5.1524700000000001</v>
      </c>
      <c r="J3376" s="465">
        <v>17.718050000000002</v>
      </c>
      <c r="K3376" s="465">
        <v>2053.5866799999999</v>
      </c>
      <c r="L3376" s="464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str">
        <f t="shared" si="104"/>
        <v>SEVROLL 10106 Ekonomik sada kovania pre 3 dvere</v>
      </c>
      <c r="C3377" s="185" t="e">
        <f t="shared" si="105"/>
        <v>#N/A</v>
      </c>
      <c r="D3377" s="409" t="s">
        <v>1310</v>
      </c>
      <c r="E3377" s="409" t="s">
        <v>1763</v>
      </c>
      <c r="F3377" s="409" t="s">
        <v>5772</v>
      </c>
      <c r="G3377" s="409" t="s">
        <v>2343</v>
      </c>
      <c r="H3377" s="465" t="e">
        <v>#N/A</v>
      </c>
      <c r="I3377" s="465" t="e">
        <v>#N/A</v>
      </c>
      <c r="J3377" s="465" t="e">
        <v>#N/A</v>
      </c>
      <c r="K3377" s="465" t="e">
        <v>#N/A</v>
      </c>
      <c r="L3377" s="464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str">
        <f t="shared" si="104"/>
        <v>SEVROLL 214-377 Herkules plus horné vedenie 3m alu</v>
      </c>
      <c r="C3378" s="185" t="e">
        <f t="shared" si="105"/>
        <v>#N/A</v>
      </c>
      <c r="D3378" s="409" t="s">
        <v>1311</v>
      </c>
      <c r="E3378" s="409" t="s">
        <v>1764</v>
      </c>
      <c r="F3378" s="409" t="s">
        <v>5773</v>
      </c>
      <c r="G3378" s="409" t="s">
        <v>2344</v>
      </c>
      <c r="H3378" s="465" t="e">
        <v>#N/A</v>
      </c>
      <c r="I3378" s="465" t="e">
        <v>#N/A</v>
      </c>
      <c r="J3378" s="465" t="e">
        <v>#N/A</v>
      </c>
      <c r="K3378" s="465" t="e">
        <v>#N/A</v>
      </c>
      <c r="L3378" s="464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str">
        <f t="shared" si="104"/>
        <v>SEVROLL profil "U" Mini 36 na DTD 2x18mm strieborná 3m</v>
      </c>
      <c r="C3379" s="185" t="e">
        <f t="shared" si="105"/>
        <v>#N/A</v>
      </c>
      <c r="D3379" s="409" t="s">
        <v>1430</v>
      </c>
      <c r="E3379" s="409" t="s">
        <v>1870</v>
      </c>
      <c r="F3379" s="409" t="s">
        <v>2176</v>
      </c>
      <c r="G3379" s="409" t="s">
        <v>2410</v>
      </c>
      <c r="H3379" s="465" t="e">
        <v>#N/A</v>
      </c>
      <c r="I3379" s="465" t="e">
        <v>#N/A</v>
      </c>
      <c r="J3379" s="465" t="e">
        <v>#N/A</v>
      </c>
      <c r="K3379" s="465" t="e">
        <v>#N/A</v>
      </c>
      <c r="L3379" s="464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imbusový kľúč SEVROLL</v>
      </c>
      <c r="C3380" s="185">
        <f t="shared" si="105"/>
        <v>4.0335000000000001</v>
      </c>
      <c r="D3380" s="409" t="s">
        <v>1276</v>
      </c>
      <c r="E3380" s="409" t="s">
        <v>1728</v>
      </c>
      <c r="F3380" s="409" t="s">
        <v>2147</v>
      </c>
      <c r="G3380" s="409" t="s">
        <v>2312</v>
      </c>
      <c r="H3380" s="465">
        <v>112.18095</v>
      </c>
      <c r="I3380" s="465">
        <v>4.0335000000000001</v>
      </c>
      <c r="J3380" s="465">
        <v>13.870189999999999</v>
      </c>
      <c r="K3380" s="465">
        <v>1607.6058700000001</v>
      </c>
      <c r="L3380" s="464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úchytová lišta 18mm 2,70m biely lesk</v>
      </c>
      <c r="C3381" s="185">
        <f t="shared" si="105"/>
        <v>15.89981</v>
      </c>
      <c r="D3381" s="409" t="s">
        <v>1277</v>
      </c>
      <c r="E3381" s="409" t="s">
        <v>1729</v>
      </c>
      <c r="F3381" s="409" t="s">
        <v>5738</v>
      </c>
      <c r="G3381" s="409" t="s">
        <v>5739</v>
      </c>
      <c r="H3381" s="465">
        <v>437.43795999999998</v>
      </c>
      <c r="I3381" s="465">
        <v>15.89981</v>
      </c>
      <c r="J3381" s="465">
        <v>55.817450000000001</v>
      </c>
      <c r="K3381" s="465">
        <v>6465.3587500000003</v>
      </c>
      <c r="L3381" s="464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úchytová lišta 2,7m strieborná</v>
      </c>
      <c r="C3382" s="185">
        <f t="shared" si="105"/>
        <v>14.54663</v>
      </c>
      <c r="D3382" s="409" t="s">
        <v>1278</v>
      </c>
      <c r="E3382" s="409" t="s">
        <v>1730</v>
      </c>
      <c r="F3382" s="409" t="s">
        <v>5740</v>
      </c>
      <c r="G3382" s="409" t="s">
        <v>2313</v>
      </c>
      <c r="H3382" s="465">
        <v>404.57512000000003</v>
      </c>
      <c r="I3382" s="465">
        <v>14.54663</v>
      </c>
      <c r="J3382" s="465">
        <v>57.018000000000001</v>
      </c>
      <c r="K3382" s="465">
        <v>5797.7521299999999</v>
      </c>
      <c r="L3382" s="464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úchytová lišta 2,7m oliva</v>
      </c>
      <c r="C3383" s="185">
        <f t="shared" si="105"/>
        <v>18.24184</v>
      </c>
      <c r="D3383" s="409" t="s">
        <v>1279</v>
      </c>
      <c r="E3383" s="409" t="s">
        <v>1731</v>
      </c>
      <c r="F3383" s="409" t="s">
        <v>1279</v>
      </c>
      <c r="G3383" s="409" t="s">
        <v>2314</v>
      </c>
      <c r="H3383" s="465">
        <v>507.34733</v>
      </c>
      <c r="I3383" s="465">
        <v>18.24184</v>
      </c>
      <c r="J3383" s="465">
        <v>63.872399999999999</v>
      </c>
      <c r="K3383" s="465">
        <v>7270.5262599999996</v>
      </c>
      <c r="L3383" s="464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úchytová lišta 2,7m biela lesk</v>
      </c>
      <c r="C3384" s="185">
        <f t="shared" si="105"/>
        <v>18.892410000000002</v>
      </c>
      <c r="D3384" s="409" t="s">
        <v>1280</v>
      </c>
      <c r="E3384" s="409" t="s">
        <v>1732</v>
      </c>
      <c r="F3384" s="409" t="s">
        <v>5741</v>
      </c>
      <c r="G3384" s="409" t="s">
        <v>2315</v>
      </c>
      <c r="H3384" s="465">
        <v>525.44104000000004</v>
      </c>
      <c r="I3384" s="465">
        <v>18.892410000000002</v>
      </c>
      <c r="J3384" s="465">
        <v>74.143799999999999</v>
      </c>
      <c r="K3384" s="465">
        <v>7529.8176999999996</v>
      </c>
      <c r="L3384" s="464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držiak horného vedenia pre lamino 16 - 25mm</v>
      </c>
      <c r="C3385" s="185">
        <f t="shared" si="105"/>
        <v>2.3420299999999998</v>
      </c>
      <c r="D3385" s="409" t="s">
        <v>1403</v>
      </c>
      <c r="E3385" s="409" t="s">
        <v>1848</v>
      </c>
      <c r="F3385" s="409" t="s">
        <v>5859</v>
      </c>
      <c r="G3385" s="409" t="s">
        <v>5860</v>
      </c>
      <c r="H3385" s="465">
        <v>62.091329999999999</v>
      </c>
      <c r="I3385" s="465">
        <v>2.3420299999999998</v>
      </c>
      <c r="J3385" s="465">
        <v>7.9903700000000004</v>
      </c>
      <c r="K3385" s="465">
        <v>906.99446</v>
      </c>
      <c r="L3385" s="464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str">
        <f t="shared" si="104"/>
        <v>SEVROLL 214-694 krycia lišta Herkules II 1,8m strieborná</v>
      </c>
      <c r="C3386" s="185" t="e">
        <f t="shared" si="105"/>
        <v>#N/A</v>
      </c>
      <c r="D3386" s="409" t="s">
        <v>1404</v>
      </c>
      <c r="E3386" s="409" t="s">
        <v>1849</v>
      </c>
      <c r="F3386" s="409" t="s">
        <v>5861</v>
      </c>
      <c r="G3386" s="409" t="s">
        <v>5862</v>
      </c>
      <c r="H3386" s="465" t="e">
        <v>#N/A</v>
      </c>
      <c r="I3386" s="465" t="e">
        <v>#N/A</v>
      </c>
      <c r="J3386" s="465" t="e">
        <v>#N/A</v>
      </c>
      <c r="K3386" s="465" t="e">
        <v>#N/A</v>
      </c>
      <c r="L3386" s="464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krycí profil Herakles 3m</v>
      </c>
      <c r="C3387" s="185">
        <f t="shared" si="105"/>
        <v>22.665679999999998</v>
      </c>
      <c r="D3387" s="409" t="s">
        <v>1532</v>
      </c>
      <c r="E3387" s="409" t="s">
        <v>1961</v>
      </c>
      <c r="F3387" s="409" t="s">
        <v>1532</v>
      </c>
      <c r="G3387" s="409" t="s">
        <v>6034</v>
      </c>
      <c r="H3387" s="465">
        <v>600.90607999999997</v>
      </c>
      <c r="I3387" s="465">
        <v>22.665679999999998</v>
      </c>
      <c r="J3387" s="465">
        <v>77.328959999999995</v>
      </c>
      <c r="K3387" s="465">
        <v>8777.6907100000008</v>
      </c>
      <c r="L3387" s="464" t="s">
        <v>539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horné vedenie 3m surový</v>
      </c>
      <c r="C3388" s="185">
        <f t="shared" si="105"/>
        <v>24.357150000000001</v>
      </c>
      <c r="D3388" s="409" t="s">
        <v>1533</v>
      </c>
      <c r="E3388" s="409" t="s">
        <v>1962</v>
      </c>
      <c r="F3388" s="409" t="s">
        <v>6035</v>
      </c>
      <c r="G3388" s="409" t="s">
        <v>68</v>
      </c>
      <c r="H3388" s="465">
        <v>645.74982999999997</v>
      </c>
      <c r="I3388" s="465">
        <v>24.357150000000001</v>
      </c>
      <c r="J3388" s="465">
        <v>83.099779999999996</v>
      </c>
      <c r="K3388" s="465">
        <v>9432.7424599999995</v>
      </c>
      <c r="L3388" s="464" t="s">
        <v>539</v>
      </c>
      <c r="O3388">
        <v>21.67</v>
      </c>
      <c r="P3388" t="s">
        <v>10137</v>
      </c>
    </row>
    <row r="3389" spans="1:16" ht="14.4" x14ac:dyDescent="0.3">
      <c r="A3389">
        <v>376056</v>
      </c>
      <c r="B3389" t="str">
        <f t="shared" si="104"/>
        <v>SEVROLL 20392 Herakles tlmič 40kg</v>
      </c>
      <c r="C3389" s="185" t="e">
        <f t="shared" si="105"/>
        <v>#N/A</v>
      </c>
      <c r="D3389" s="409" t="s">
        <v>1534</v>
      </c>
      <c r="E3389" s="409" t="s">
        <v>1963</v>
      </c>
      <c r="F3389" s="409" t="s">
        <v>6036</v>
      </c>
      <c r="G3389" s="409" t="s">
        <v>6037</v>
      </c>
      <c r="H3389" s="465" t="e">
        <v>#N/A</v>
      </c>
      <c r="I3389" s="465" t="e">
        <v>#N/A</v>
      </c>
      <c r="J3389" s="465" t="e">
        <v>#N/A</v>
      </c>
      <c r="K3389" s="465" t="e">
        <v>#N/A</v>
      </c>
      <c r="L3389" s="464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str">
        <f t="shared" si="104"/>
        <v>SEVROLL 20393 Herakles tlmič 40 - 80kg</v>
      </c>
      <c r="C3390" s="185" t="e">
        <f t="shared" si="105"/>
        <v>#N/A</v>
      </c>
      <c r="D3390" s="409" t="s">
        <v>1535</v>
      </c>
      <c r="E3390" s="409" t="s">
        <v>1964</v>
      </c>
      <c r="F3390" s="409" t="s">
        <v>6038</v>
      </c>
      <c r="G3390" s="409" t="s">
        <v>6039</v>
      </c>
      <c r="H3390" s="465" t="e">
        <v>#N/A</v>
      </c>
      <c r="I3390" s="465" t="e">
        <v>#N/A</v>
      </c>
      <c r="J3390" s="465" t="e">
        <v>#N/A</v>
      </c>
      <c r="K3390" s="465" t="e">
        <v>#N/A</v>
      </c>
      <c r="L3390" s="464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sada kovania ZPH-18 pre 1 krídlo</v>
      </c>
      <c r="C3391" s="185">
        <f t="shared" si="105"/>
        <v>19.20468</v>
      </c>
      <c r="D3391" s="409" t="s">
        <v>1536</v>
      </c>
      <c r="E3391" s="409" t="s">
        <v>1965</v>
      </c>
      <c r="F3391" s="409" t="s">
        <v>6040</v>
      </c>
      <c r="G3391" s="409" t="s">
        <v>6041</v>
      </c>
      <c r="H3391" s="465">
        <v>509.14890000000003</v>
      </c>
      <c r="I3391" s="465">
        <v>19.20468</v>
      </c>
      <c r="J3391" s="465">
        <v>65.520989999999998</v>
      </c>
      <c r="K3391" s="465">
        <v>7437.3545800000002</v>
      </c>
      <c r="L3391" s="464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držiak horného vedenia Herakles</v>
      </c>
      <c r="C3392" s="185">
        <f t="shared" si="105"/>
        <v>1.8736299999999999</v>
      </c>
      <c r="D3392" s="409" t="s">
        <v>1537</v>
      </c>
      <c r="E3392" s="409" t="s">
        <v>1966</v>
      </c>
      <c r="F3392" s="409" t="s">
        <v>6042</v>
      </c>
      <c r="G3392" s="409" t="s">
        <v>68</v>
      </c>
      <c r="H3392" s="465">
        <v>49.67306</v>
      </c>
      <c r="I3392" s="465">
        <v>1.8736299999999999</v>
      </c>
      <c r="J3392" s="465">
        <v>6.39229</v>
      </c>
      <c r="K3392" s="465">
        <v>725.59547999999995</v>
      </c>
      <c r="L3392" s="464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okrasná lišta S10 3m strieborná</v>
      </c>
      <c r="C3393" s="185">
        <f t="shared" si="105"/>
        <v>3.1450499999999999</v>
      </c>
      <c r="D3393" s="409" t="s">
        <v>1527</v>
      </c>
      <c r="E3393" s="409" t="s">
        <v>1957</v>
      </c>
      <c r="F3393" s="409" t="s">
        <v>2180</v>
      </c>
      <c r="G3393" s="409" t="s">
        <v>2474</v>
      </c>
      <c r="H3393" s="465">
        <v>0</v>
      </c>
      <c r="I3393" s="465">
        <v>3.1450499999999999</v>
      </c>
      <c r="J3393" s="465">
        <v>0</v>
      </c>
      <c r="K3393" s="465">
        <v>0</v>
      </c>
      <c r="L3393" s="464" t="s">
        <v>540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okrasná lišta S20 3m strieborná</v>
      </c>
      <c r="C3394" s="185">
        <f t="shared" si="105"/>
        <v>5.6752799999999999</v>
      </c>
      <c r="D3394" s="409" t="s">
        <v>1528</v>
      </c>
      <c r="E3394" s="409" t="s">
        <v>1958</v>
      </c>
      <c r="F3394" s="409" t="s">
        <v>2181</v>
      </c>
      <c r="G3394" s="409" t="s">
        <v>2475</v>
      </c>
      <c r="H3394" s="465">
        <v>0</v>
      </c>
      <c r="I3394" s="465">
        <v>5.6752799999999999</v>
      </c>
      <c r="J3394" s="465">
        <v>0</v>
      </c>
      <c r="K3394" s="465">
        <v>0</v>
      </c>
      <c r="L3394" s="464" t="s">
        <v>540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šablóna pre vozíky pre lamino 18mm</v>
      </c>
      <c r="C3395" s="185">
        <f t="shared" si="105"/>
        <v>4.6192500000000001</v>
      </c>
      <c r="D3395" s="409" t="s">
        <v>1501</v>
      </c>
      <c r="E3395" s="409" t="s">
        <v>1931</v>
      </c>
      <c r="F3395" s="409" t="s">
        <v>6005</v>
      </c>
      <c r="G3395" s="409" t="s">
        <v>6006</v>
      </c>
      <c r="H3395" s="465">
        <v>115.8982</v>
      </c>
      <c r="I3395" s="465">
        <v>4.6192500000000001</v>
      </c>
      <c r="J3395" s="465">
        <v>20.175750000000001</v>
      </c>
      <c r="K3395" s="465">
        <v>1881.7835700000001</v>
      </c>
      <c r="L3395" s="464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/>
      </c>
      <c r="C3396" s="185">
        <f t="shared" ref="C3396:C3459" si="107">IF($A$2=1,H3396,IF($A$2=2,I3396,IF($A$2=3,J3396,IF($A$2=4,K3396,IF($A$2&gt;4,O3396,"zadat jazyk")))))</f>
        <v>0</v>
      </c>
      <c r="D3396" s="409" t="s">
        <v>1502</v>
      </c>
      <c r="E3396" s="409" t="s">
        <v>68</v>
      </c>
      <c r="F3396" s="409" t="s">
        <v>68</v>
      </c>
      <c r="G3396" s="409" t="s">
        <v>68</v>
      </c>
      <c r="H3396" s="465">
        <v>0</v>
      </c>
      <c r="I3396" s="465">
        <v>0</v>
      </c>
      <c r="J3396" s="465">
        <v>0</v>
      </c>
      <c r="K3396" s="465">
        <v>0</v>
      </c>
      <c r="L3396" s="464" t="s">
        <v>540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/>
      </c>
      <c r="C3397" s="185">
        <f t="shared" si="107"/>
        <v>0</v>
      </c>
      <c r="D3397" s="409" t="s">
        <v>1503</v>
      </c>
      <c r="E3397" s="409" t="s">
        <v>68</v>
      </c>
      <c r="F3397" s="409" t="s">
        <v>68</v>
      </c>
      <c r="G3397" s="409" t="s">
        <v>68</v>
      </c>
      <c r="H3397" s="465">
        <v>0</v>
      </c>
      <c r="I3397" s="465">
        <v>0</v>
      </c>
      <c r="J3397" s="465">
        <v>0</v>
      </c>
      <c r="K3397" s="465">
        <v>0</v>
      </c>
      <c r="L3397" s="464" t="s">
        <v>540</v>
      </c>
      <c r="O3397">
        <v>0</v>
      </c>
      <c r="P3397" t="s">
        <v>10092</v>
      </c>
    </row>
    <row r="3398" spans="1:16" ht="14.4" x14ac:dyDescent="0.3">
      <c r="A3398">
        <v>378696</v>
      </c>
      <c r="B3398" t="str">
        <f t="shared" si="106"/>
        <v/>
      </c>
      <c r="C3398" s="185" t="e">
        <f t="shared" si="107"/>
        <v>#N/A</v>
      </c>
      <c r="D3398" s="409" t="s">
        <v>1504</v>
      </c>
      <c r="E3398" s="409" t="s">
        <v>68</v>
      </c>
      <c r="F3398" s="409" t="s">
        <v>68</v>
      </c>
      <c r="G3398" s="409" t="s">
        <v>68</v>
      </c>
      <c r="H3398" s="465" t="e">
        <v>#N/A</v>
      </c>
      <c r="I3398" s="465" t="e">
        <v>#N/A</v>
      </c>
      <c r="J3398" s="465" t="e">
        <v>#N/A</v>
      </c>
      <c r="K3398" s="465" t="e">
        <v>#N/A</v>
      </c>
      <c r="L3398" s="464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str">
        <f t="shared" si="106"/>
        <v>SEVROLL 04438 maska Elegant II 3m biela mat</v>
      </c>
      <c r="C3399" s="185" t="e">
        <f t="shared" si="107"/>
        <v>#N/A</v>
      </c>
      <c r="D3399" s="409" t="s">
        <v>1337</v>
      </c>
      <c r="E3399" s="409" t="s">
        <v>1797</v>
      </c>
      <c r="F3399" s="409" t="s">
        <v>5803</v>
      </c>
      <c r="G3399" s="409" t="s">
        <v>5810</v>
      </c>
      <c r="H3399" s="465" t="e">
        <v>#N/A</v>
      </c>
      <c r="I3399" s="465" t="e">
        <v>#N/A</v>
      </c>
      <c r="J3399" s="465" t="e">
        <v>#N/A</v>
      </c>
      <c r="K3399" s="465" t="e">
        <v>#N/A</v>
      </c>
      <c r="L3399" s="464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držiak horného vedenia pre lamino 25 - 45mm</v>
      </c>
      <c r="C3400" s="185">
        <f t="shared" si="107"/>
        <v>2.3420299999999998</v>
      </c>
      <c r="D3400" s="409" t="s">
        <v>1449</v>
      </c>
      <c r="E3400" s="409" t="s">
        <v>1881</v>
      </c>
      <c r="F3400" s="409" t="s">
        <v>5930</v>
      </c>
      <c r="G3400" s="409" t="s">
        <v>5931</v>
      </c>
      <c r="H3400" s="465">
        <v>62.091329999999999</v>
      </c>
      <c r="I3400" s="465">
        <v>2.3420299999999998</v>
      </c>
      <c r="J3400" s="465">
        <v>7.9903700000000004</v>
      </c>
      <c r="K3400" s="465">
        <v>906.99446</v>
      </c>
      <c r="L3400" s="464" t="s">
        <v>539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/>
      </c>
      <c r="C3401" s="185">
        <f t="shared" si="107"/>
        <v>0</v>
      </c>
      <c r="D3401" s="409" t="s">
        <v>1450</v>
      </c>
      <c r="E3401" s="409" t="s">
        <v>68</v>
      </c>
      <c r="F3401" s="409" t="s">
        <v>68</v>
      </c>
      <c r="G3401" s="409" t="s">
        <v>68</v>
      </c>
      <c r="H3401" s="465">
        <v>0</v>
      </c>
      <c r="I3401" s="465">
        <v>0</v>
      </c>
      <c r="J3401" s="465">
        <v>0</v>
      </c>
      <c r="K3401" s="465">
        <v>1</v>
      </c>
      <c r="L3401" s="464" t="s">
        <v>541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/>
      </c>
      <c r="C3402" s="185">
        <f t="shared" si="107"/>
        <v>4.8164800000000003</v>
      </c>
      <c r="D3402" s="409" t="s">
        <v>1451</v>
      </c>
      <c r="E3402" s="409" t="s">
        <v>68</v>
      </c>
      <c r="F3402" s="409" t="s">
        <v>68</v>
      </c>
      <c r="G3402" s="409" t="s">
        <v>68</v>
      </c>
      <c r="H3402" s="465">
        <v>135.50897000000001</v>
      </c>
      <c r="I3402" s="465">
        <v>4.8164800000000003</v>
      </c>
      <c r="J3402" s="465">
        <v>18.35596</v>
      </c>
      <c r="K3402" s="465">
        <v>1886.0604800000001</v>
      </c>
      <c r="L3402" s="464" t="s">
        <v>541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/>
      </c>
      <c r="C3403" s="185">
        <f t="shared" si="107"/>
        <v>0</v>
      </c>
      <c r="D3403" s="409" t="s">
        <v>1294</v>
      </c>
      <c r="E3403" s="409" t="s">
        <v>1747</v>
      </c>
      <c r="F3403" s="409" t="s">
        <v>68</v>
      </c>
      <c r="G3403" s="409" t="s">
        <v>68</v>
      </c>
      <c r="H3403" s="465">
        <v>0</v>
      </c>
      <c r="I3403" s="465">
        <v>0</v>
      </c>
      <c r="J3403" s="465">
        <v>0</v>
      </c>
      <c r="K3403" s="465">
        <v>0</v>
      </c>
      <c r="L3403" s="464" t="s">
        <v>540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/>
      </c>
      <c r="C3404" s="185">
        <f t="shared" si="107"/>
        <v>0</v>
      </c>
      <c r="D3404" s="409" t="s">
        <v>1294</v>
      </c>
      <c r="E3404" s="409" t="s">
        <v>1747</v>
      </c>
      <c r="F3404" s="409" t="s">
        <v>68</v>
      </c>
      <c r="G3404" s="409" t="s">
        <v>68</v>
      </c>
      <c r="H3404" s="465">
        <v>0</v>
      </c>
      <c r="I3404" s="465">
        <v>0</v>
      </c>
      <c r="J3404" s="465">
        <v>0</v>
      </c>
      <c r="K3404" s="465">
        <v>0</v>
      </c>
      <c r="L3404" s="464" t="s">
        <v>540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/>
      </c>
      <c r="C3405" s="185">
        <f t="shared" si="107"/>
        <v>0</v>
      </c>
      <c r="D3405" s="409" t="s">
        <v>1418</v>
      </c>
      <c r="E3405" s="409" t="s">
        <v>1863</v>
      </c>
      <c r="F3405" s="409" t="s">
        <v>68</v>
      </c>
      <c r="G3405" s="409" t="s">
        <v>68</v>
      </c>
      <c r="H3405" s="465">
        <v>0</v>
      </c>
      <c r="I3405" s="465">
        <v>0</v>
      </c>
      <c r="J3405" s="465">
        <v>0</v>
      </c>
      <c r="K3405" s="465">
        <v>0</v>
      </c>
      <c r="L3405" s="464" t="s">
        <v>540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držiak spodného vedenia Gemini</v>
      </c>
      <c r="C3406" s="185">
        <f t="shared" si="107"/>
        <v>0.23419999999999999</v>
      </c>
      <c r="D3406" s="409" t="s">
        <v>1264</v>
      </c>
      <c r="E3406" s="409" t="s">
        <v>1265</v>
      </c>
      <c r="F3406" s="409" t="s">
        <v>5737</v>
      </c>
      <c r="G3406" s="409" t="s">
        <v>1266</v>
      </c>
      <c r="H3406" s="465">
        <v>6.5137299999999998</v>
      </c>
      <c r="I3406" s="465">
        <v>0.23419999999999999</v>
      </c>
      <c r="J3406" s="465">
        <v>0.80537000000000003</v>
      </c>
      <c r="K3406" s="465">
        <v>93.344880000000003</v>
      </c>
      <c r="L3406" s="464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spodné vedenie 2,35m strieborná</v>
      </c>
      <c r="C3407" s="185">
        <f t="shared" si="107"/>
        <v>21.078309999999998</v>
      </c>
      <c r="D3407" s="409" t="s">
        <v>1419</v>
      </c>
      <c r="E3407" s="409" t="s">
        <v>1864</v>
      </c>
      <c r="F3407" s="409" t="s">
        <v>5885</v>
      </c>
      <c r="G3407" s="409" t="s">
        <v>5886</v>
      </c>
      <c r="H3407" s="465">
        <v>586.23586</v>
      </c>
      <c r="I3407" s="465">
        <v>21.078309999999998</v>
      </c>
      <c r="J3407" s="465">
        <v>79.029600000000002</v>
      </c>
      <c r="K3407" s="465">
        <v>8401.0360999999994</v>
      </c>
      <c r="L3407" s="464" t="s">
        <v>539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spodné vedenie 3m strieborná</v>
      </c>
      <c r="C3408" s="185">
        <f t="shared" si="107"/>
        <v>26.933389999999999</v>
      </c>
      <c r="D3408" s="409" t="s">
        <v>1420</v>
      </c>
      <c r="E3408" s="409" t="s">
        <v>1865</v>
      </c>
      <c r="F3408" s="409" t="s">
        <v>5887</v>
      </c>
      <c r="G3408" s="409" t="s">
        <v>5888</v>
      </c>
      <c r="H3408" s="465">
        <v>749.07916999999998</v>
      </c>
      <c r="I3408" s="465">
        <v>26.933389999999999</v>
      </c>
      <c r="J3408" s="465">
        <v>100.9392</v>
      </c>
      <c r="K3408" s="465">
        <v>10734.657450000001</v>
      </c>
      <c r="L3408" s="464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01495 Comfort spodné vedenie 4,05m strieborná</v>
      </c>
      <c r="C3409" s="185">
        <f t="shared" si="107"/>
        <v>36.37959</v>
      </c>
      <c r="D3409" s="409" t="s">
        <v>1421</v>
      </c>
      <c r="E3409" s="409" t="s">
        <v>1866</v>
      </c>
      <c r="F3409" s="409" t="s">
        <v>5889</v>
      </c>
      <c r="G3409" s="409" t="s">
        <v>5890</v>
      </c>
      <c r="H3409" s="465">
        <v>1011.79968</v>
      </c>
      <c r="I3409" s="465">
        <v>36.37959</v>
      </c>
      <c r="J3409" s="465">
        <v>147.62827999999999</v>
      </c>
      <c r="K3409" s="465">
        <v>14499.56611</v>
      </c>
      <c r="L3409" s="464" t="s">
        <v>539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/>
      </c>
      <c r="C3410" s="185">
        <f t="shared" si="107"/>
        <v>0</v>
      </c>
      <c r="D3410" s="409" t="s">
        <v>1422</v>
      </c>
      <c r="E3410" s="409" t="s">
        <v>1867</v>
      </c>
      <c r="F3410" s="409" t="s">
        <v>68</v>
      </c>
      <c r="G3410" s="409" t="s">
        <v>68</v>
      </c>
      <c r="H3410" s="465">
        <v>0</v>
      </c>
      <c r="I3410" s="465">
        <v>0</v>
      </c>
      <c r="J3410" s="465">
        <v>0</v>
      </c>
      <c r="K3410" s="465">
        <v>0</v>
      </c>
      <c r="L3410" s="464" t="s">
        <v>540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/>
      </c>
      <c r="C3411" s="185">
        <f t="shared" si="107"/>
        <v>0</v>
      </c>
      <c r="D3411" s="409" t="s">
        <v>1423</v>
      </c>
      <c r="E3411" s="409" t="s">
        <v>1868</v>
      </c>
      <c r="F3411" s="409" t="s">
        <v>68</v>
      </c>
      <c r="G3411" s="409" t="s">
        <v>68</v>
      </c>
      <c r="H3411" s="465">
        <v>0</v>
      </c>
      <c r="I3411" s="465">
        <v>0</v>
      </c>
      <c r="J3411" s="465">
        <v>0</v>
      </c>
      <c r="K3411" s="465">
        <v>0</v>
      </c>
      <c r="L3411" s="464" t="s">
        <v>540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/>
      </c>
      <c r="C3412" s="185">
        <f t="shared" si="107"/>
        <v>9.8365399999999994</v>
      </c>
      <c r="D3412" s="409" t="s">
        <v>1407</v>
      </c>
      <c r="E3412" s="409" t="s">
        <v>1851</v>
      </c>
      <c r="F3412" s="409" t="s">
        <v>68</v>
      </c>
      <c r="G3412" s="409" t="s">
        <v>5863</v>
      </c>
      <c r="H3412" s="465">
        <v>273.57673999999997</v>
      </c>
      <c r="I3412" s="465">
        <v>9.8365399999999994</v>
      </c>
      <c r="J3412" s="465">
        <v>33.825380000000003</v>
      </c>
      <c r="K3412" s="465">
        <v>3920.4835899999998</v>
      </c>
      <c r="L3412" s="464" t="s">
        <v>539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sada kovanie pre 1 krídlo</v>
      </c>
      <c r="C3413" s="185">
        <f t="shared" si="107"/>
        <v>6.3495100000000004</v>
      </c>
      <c r="D3413" s="409" t="s">
        <v>1363</v>
      </c>
      <c r="E3413" s="409" t="s">
        <v>1813</v>
      </c>
      <c r="F3413" s="409" t="s">
        <v>5832</v>
      </c>
      <c r="G3413" s="409" t="s">
        <v>5833</v>
      </c>
      <c r="H3413" s="465">
        <v>176.59450000000001</v>
      </c>
      <c r="I3413" s="465">
        <v>6.3495100000000004</v>
      </c>
      <c r="J3413" s="465">
        <v>25.214400000000001</v>
      </c>
      <c r="K3413" s="465">
        <v>2530.6823199999999</v>
      </c>
      <c r="L3413" s="464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Maxim horné vedenie 1,8m oliva</v>
      </c>
      <c r="C3414" s="185">
        <f t="shared" si="107"/>
        <v>17.77251</v>
      </c>
      <c r="D3414" s="409" t="s">
        <v>1358</v>
      </c>
      <c r="E3414" s="409" t="s">
        <v>1810</v>
      </c>
      <c r="F3414" s="409" t="s">
        <v>2152</v>
      </c>
      <c r="G3414" s="409" t="s">
        <v>2375</v>
      </c>
      <c r="H3414" s="465">
        <v>469.70317</v>
      </c>
      <c r="I3414" s="465">
        <v>17.77251</v>
      </c>
      <c r="J3414" s="465">
        <v>62.997520000000002</v>
      </c>
      <c r="K3414" s="465">
        <v>6982.69</v>
      </c>
      <c r="L3414" s="464" t="s">
        <v>540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str">
        <f t="shared" si="106"/>
        <v>SEVROLL Maxim spodná krycia lišta 1,8m 18mm oliva</v>
      </c>
      <c r="C3415" s="185" t="e">
        <f t="shared" si="107"/>
        <v>#N/A</v>
      </c>
      <c r="D3415" s="409" t="s">
        <v>1359</v>
      </c>
      <c r="E3415" s="409" t="s">
        <v>1811</v>
      </c>
      <c r="F3415" s="409" t="s">
        <v>2159</v>
      </c>
      <c r="G3415" s="409" t="s">
        <v>2376</v>
      </c>
      <c r="H3415" s="465" t="e">
        <v>#N/A</v>
      </c>
      <c r="I3415" s="465" t="e">
        <v>#N/A</v>
      </c>
      <c r="J3415" s="465" t="e">
        <v>#N/A</v>
      </c>
      <c r="K3415" s="465" t="e">
        <v>#N/A</v>
      </c>
      <c r="L3415" s="464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spodná krycia lišta Simple/Blue 2m (pre lamino 18mm) biely lesk</v>
      </c>
      <c r="C3416" s="185">
        <f t="shared" si="107"/>
        <v>17.331050000000001</v>
      </c>
      <c r="D3416" s="409" t="s">
        <v>1481</v>
      </c>
      <c r="E3416" s="409" t="s">
        <v>1911</v>
      </c>
      <c r="F3416" s="409" t="s">
        <v>5983</v>
      </c>
      <c r="G3416" s="409" t="s">
        <v>2437</v>
      </c>
      <c r="H3416" s="465">
        <v>476.81455</v>
      </c>
      <c r="I3416" s="465">
        <v>17.331050000000001</v>
      </c>
      <c r="J3416" s="465">
        <v>85.189250000000001</v>
      </c>
      <c r="K3416" s="465">
        <v>7047.3470500000003</v>
      </c>
      <c r="L3416" s="464" t="s">
        <v>538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spodná krycia lišta Simple/Blue 3m (pre lamino 18mm) biely lesk</v>
      </c>
      <c r="C3417" s="185">
        <f t="shared" si="107"/>
        <v>25.970549999999999</v>
      </c>
      <c r="D3417" s="409" t="s">
        <v>1482</v>
      </c>
      <c r="E3417" s="409" t="s">
        <v>1912</v>
      </c>
      <c r="F3417" s="409" t="s">
        <v>5984</v>
      </c>
      <c r="G3417" s="409" t="s">
        <v>2438</v>
      </c>
      <c r="H3417" s="465">
        <v>714.50588000000005</v>
      </c>
      <c r="I3417" s="465">
        <v>25.970549999999999</v>
      </c>
      <c r="J3417" s="465">
        <v>127.83893999999999</v>
      </c>
      <c r="K3417" s="465">
        <v>10560.43881</v>
      </c>
      <c r="L3417" s="464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horná vodiaca lišta Simple/Blue 2m (pre lamino 18mm) biely lesk</v>
      </c>
      <c r="C3418" s="185">
        <f t="shared" si="107"/>
        <v>8.8476800000000004</v>
      </c>
      <c r="D3418" s="409" t="s">
        <v>1483</v>
      </c>
      <c r="E3418" s="409" t="s">
        <v>1913</v>
      </c>
      <c r="F3418" s="409" t="s">
        <v>5985</v>
      </c>
      <c r="G3418" s="409" t="s">
        <v>2439</v>
      </c>
      <c r="H3418" s="465">
        <v>243.41883999999999</v>
      </c>
      <c r="I3418" s="465">
        <v>8.8476800000000004</v>
      </c>
      <c r="J3418" s="465">
        <v>44.207169999999998</v>
      </c>
      <c r="K3418" s="465">
        <v>3597.7446500000001</v>
      </c>
      <c r="L3418" s="464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horná vodiaca lišta Simple/Blue 3m (pre lamino 18mm) biely lesk</v>
      </c>
      <c r="C3419" s="185">
        <f t="shared" si="107"/>
        <v>13.27153</v>
      </c>
      <c r="D3419" s="409" t="s">
        <v>1484</v>
      </c>
      <c r="E3419" s="409" t="s">
        <v>1914</v>
      </c>
      <c r="F3419" s="409" t="s">
        <v>5986</v>
      </c>
      <c r="G3419" s="409" t="s">
        <v>2381</v>
      </c>
      <c r="H3419" s="465">
        <v>365.12824999999998</v>
      </c>
      <c r="I3419" s="465">
        <v>13.27153</v>
      </c>
      <c r="J3419" s="465">
        <v>66.326480000000004</v>
      </c>
      <c r="K3419" s="465">
        <v>5396.6169900000004</v>
      </c>
      <c r="L3419" s="464" t="s">
        <v>538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spojovacia lišta Simple/Blue H21 3m (pre lamino 18mm) biely lesk</v>
      </c>
      <c r="C3420" s="185">
        <f t="shared" si="107"/>
        <v>14.8589</v>
      </c>
      <c r="D3420" s="409" t="s">
        <v>1485</v>
      </c>
      <c r="E3420" s="409" t="s">
        <v>1915</v>
      </c>
      <c r="F3420" s="409" t="s">
        <v>5987</v>
      </c>
      <c r="G3420" s="409" t="s">
        <v>2440</v>
      </c>
      <c r="H3420" s="465">
        <v>408.80045000000001</v>
      </c>
      <c r="I3420" s="465">
        <v>14.8589</v>
      </c>
      <c r="J3420" s="465">
        <v>61.339410000000001</v>
      </c>
      <c r="K3420" s="465">
        <v>6042.0946599999997</v>
      </c>
      <c r="L3420" s="464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spojovacia lišta Simple/Blue H28 3m (pre lamino 18mm) biely lesk</v>
      </c>
      <c r="C3421" s="185">
        <f t="shared" si="107"/>
        <v>25.736350000000002</v>
      </c>
      <c r="D3421" s="409" t="s">
        <v>1486</v>
      </c>
      <c r="E3421" s="409" t="s">
        <v>1916</v>
      </c>
      <c r="F3421" s="409" t="s">
        <v>5988</v>
      </c>
      <c r="G3421" s="409" t="s">
        <v>2441</v>
      </c>
      <c r="H3421" s="465">
        <v>708.06244000000004</v>
      </c>
      <c r="I3421" s="465">
        <v>25.736350000000002</v>
      </c>
      <c r="J3421" s="465">
        <v>93.29128</v>
      </c>
      <c r="K3421" s="465">
        <v>10465.20435</v>
      </c>
      <c r="L3421" s="464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spodné vedenie 2m biela lesk</v>
      </c>
      <c r="C3422" s="185">
        <f t="shared" si="107"/>
        <v>10.487109999999999</v>
      </c>
      <c r="D3422" s="409" t="s">
        <v>1487</v>
      </c>
      <c r="E3422" s="409" t="s">
        <v>1917</v>
      </c>
      <c r="F3422" s="409" t="s">
        <v>5989</v>
      </c>
      <c r="G3422" s="409" t="s">
        <v>2442</v>
      </c>
      <c r="H3422" s="465">
        <v>288.52291000000002</v>
      </c>
      <c r="I3422" s="465">
        <v>10.487109999999999</v>
      </c>
      <c r="J3422" s="465">
        <v>44.993769999999998</v>
      </c>
      <c r="K3422" s="465">
        <v>4264.3854499999998</v>
      </c>
      <c r="L3422" s="464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spodné vedenie 3m biela lesk</v>
      </c>
      <c r="C3423" s="185">
        <f t="shared" si="107"/>
        <v>15.74367</v>
      </c>
      <c r="D3423" s="409" t="s">
        <v>1488</v>
      </c>
      <c r="E3423" s="409" t="s">
        <v>1918</v>
      </c>
      <c r="F3423" s="409" t="s">
        <v>5990</v>
      </c>
      <c r="G3423" s="409" t="s">
        <v>2443</v>
      </c>
      <c r="H3423" s="465">
        <v>433.14235000000002</v>
      </c>
      <c r="I3423" s="465">
        <v>15.74367</v>
      </c>
      <c r="J3423" s="465">
        <v>67.490650000000002</v>
      </c>
      <c r="K3423" s="465">
        <v>6401.8693899999998</v>
      </c>
      <c r="L3423" s="464" t="s">
        <v>539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spodné vedenie 6m biela lesk</v>
      </c>
      <c r="C3424" s="185">
        <f t="shared" si="107"/>
        <v>31.461320000000001</v>
      </c>
      <c r="D3424" s="409" t="s">
        <v>1489</v>
      </c>
      <c r="E3424" s="409" t="s">
        <v>1919</v>
      </c>
      <c r="F3424" s="409" t="s">
        <v>5991</v>
      </c>
      <c r="G3424" s="409" t="s">
        <v>2444</v>
      </c>
      <c r="H3424" s="465">
        <v>865.56874000000005</v>
      </c>
      <c r="I3424" s="465">
        <v>31.461320000000001</v>
      </c>
      <c r="J3424" s="465">
        <v>134.91838000000001</v>
      </c>
      <c r="K3424" s="465">
        <v>12793.156789999999</v>
      </c>
      <c r="L3424" s="464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horné vedenie 2m biela lesk</v>
      </c>
      <c r="C3425" s="185">
        <f t="shared" si="107"/>
        <v>19.621040000000001</v>
      </c>
      <c r="D3425" s="409" t="s">
        <v>1490</v>
      </c>
      <c r="E3425" s="409" t="s">
        <v>1920</v>
      </c>
      <c r="F3425" s="409" t="s">
        <v>5992</v>
      </c>
      <c r="G3425" s="409" t="s">
        <v>2445</v>
      </c>
      <c r="H3425" s="465">
        <v>539.81704999999999</v>
      </c>
      <c r="I3425" s="465">
        <v>19.621040000000001</v>
      </c>
      <c r="J3425" s="465">
        <v>66.342209999999994</v>
      </c>
      <c r="K3425" s="465">
        <v>7978.5276999999996</v>
      </c>
      <c r="L3425" s="464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horné vedenie 3m biela lesk</v>
      </c>
      <c r="C3426" s="185">
        <f t="shared" si="107"/>
        <v>29.431560000000001</v>
      </c>
      <c r="D3426" s="409" t="s">
        <v>1491</v>
      </c>
      <c r="E3426" s="409" t="s">
        <v>1921</v>
      </c>
      <c r="F3426" s="409" t="s">
        <v>5993</v>
      </c>
      <c r="G3426" s="409" t="s">
        <v>2446</v>
      </c>
      <c r="H3426" s="465">
        <v>809.72559000000001</v>
      </c>
      <c r="I3426" s="465">
        <v>29.431560000000001</v>
      </c>
      <c r="J3426" s="465">
        <v>99.55265</v>
      </c>
      <c r="K3426" s="465">
        <v>11967.79175</v>
      </c>
      <c r="L3426" s="464" t="s">
        <v>538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horné vedenie 6m biela lesk</v>
      </c>
      <c r="C3427" s="185">
        <f t="shared" si="107"/>
        <v>58.863120000000002</v>
      </c>
      <c r="D3427" s="409" t="s">
        <v>1492</v>
      </c>
      <c r="E3427" s="409" t="s">
        <v>1922</v>
      </c>
      <c r="F3427" s="409" t="s">
        <v>5994</v>
      </c>
      <c r="G3427" s="409" t="s">
        <v>2447</v>
      </c>
      <c r="H3427" s="465">
        <v>1619.45119</v>
      </c>
      <c r="I3427" s="465">
        <v>58.863120000000002</v>
      </c>
      <c r="J3427" s="465">
        <v>199.01089999999999</v>
      </c>
      <c r="K3427" s="465">
        <v>23935.583500000001</v>
      </c>
      <c r="L3427" s="464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04920-A Lynx úchytová lišta 2,7m strieborná</v>
      </c>
      <c r="C3428" s="185">
        <f t="shared" si="107"/>
        <v>22.561589999999999</v>
      </c>
      <c r="D3428" s="409" t="s">
        <v>1493</v>
      </c>
      <c r="E3428" s="409" t="s">
        <v>1923</v>
      </c>
      <c r="F3428" s="409" t="s">
        <v>5995</v>
      </c>
      <c r="G3428" s="409" t="s">
        <v>5996</v>
      </c>
      <c r="H3428" s="465">
        <v>626.76576</v>
      </c>
      <c r="I3428" s="465">
        <v>22.561589999999999</v>
      </c>
      <c r="J3428" s="465">
        <v>80.671800000000005</v>
      </c>
      <c r="K3428" s="465">
        <v>8981.8486499999999</v>
      </c>
      <c r="L3428" s="464" t="s">
        <v>538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úchytová lišta 2,7m oliva</v>
      </c>
      <c r="C3429" s="185">
        <f t="shared" si="107"/>
        <v>28.182480000000002</v>
      </c>
      <c r="D3429" s="409" t="s">
        <v>1494</v>
      </c>
      <c r="E3429" s="409" t="s">
        <v>1924</v>
      </c>
      <c r="F3429" s="409" t="s">
        <v>1494</v>
      </c>
      <c r="G3429" s="409" t="s">
        <v>2448</v>
      </c>
      <c r="H3429" s="465">
        <v>783.81904999999995</v>
      </c>
      <c r="I3429" s="465">
        <v>28.182480000000002</v>
      </c>
      <c r="J3429" s="465">
        <v>96.912390000000002</v>
      </c>
      <c r="K3429" s="465">
        <v>11232.49632</v>
      </c>
      <c r="L3429" s="464" t="s">
        <v>538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úchytová lišta 18mm 2,7m biela mat</v>
      </c>
      <c r="C3430" s="185">
        <f t="shared" si="107"/>
        <v>16.446280000000002</v>
      </c>
      <c r="D3430" s="409" t="s">
        <v>1495</v>
      </c>
      <c r="E3430" s="409" t="s">
        <v>1925</v>
      </c>
      <c r="F3430" s="409" t="s">
        <v>5997</v>
      </c>
      <c r="G3430" s="409" t="s">
        <v>2449</v>
      </c>
      <c r="H3430" s="465">
        <v>457.40872000000002</v>
      </c>
      <c r="I3430" s="465">
        <v>16.446280000000002</v>
      </c>
      <c r="J3430" s="465">
        <v>66.463200000000001</v>
      </c>
      <c r="K3430" s="465">
        <v>6554.8824199999999</v>
      </c>
      <c r="L3430" s="464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spodné vedenie 1,7m biela mat</v>
      </c>
      <c r="C3431" s="185">
        <f t="shared" si="107"/>
        <v>10.851419999999999</v>
      </c>
      <c r="D3431" s="409" t="s">
        <v>1496</v>
      </c>
      <c r="E3431" s="409" t="s">
        <v>1926</v>
      </c>
      <c r="F3431" s="409" t="s">
        <v>5998</v>
      </c>
      <c r="G3431" s="409" t="s">
        <v>5999</v>
      </c>
      <c r="H3431" s="465">
        <v>301.80291999999997</v>
      </c>
      <c r="I3431" s="465">
        <v>10.851419999999999</v>
      </c>
      <c r="J3431" s="465">
        <v>40.698</v>
      </c>
      <c r="K3431" s="465">
        <v>4324.9779799999997</v>
      </c>
      <c r="L3431" s="464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spodné vedenie 2,35m biely mat</v>
      </c>
      <c r="C3432" s="185">
        <f t="shared" si="107"/>
        <v>14.91095</v>
      </c>
      <c r="D3432" s="409" t="s">
        <v>1497</v>
      </c>
      <c r="E3432" s="409" t="s">
        <v>1927</v>
      </c>
      <c r="F3432" s="409" t="s">
        <v>6000</v>
      </c>
      <c r="G3432" s="409" t="s">
        <v>6001</v>
      </c>
      <c r="H3432" s="465">
        <v>414.70758000000001</v>
      </c>
      <c r="I3432" s="465">
        <v>14.91095</v>
      </c>
      <c r="J3432" s="465">
        <v>56.253</v>
      </c>
      <c r="K3432" s="465">
        <v>5942.9550600000002</v>
      </c>
      <c r="L3432" s="464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spodné vedenie 4,05m biela mat</v>
      </c>
      <c r="C3433" s="185">
        <f t="shared" si="107"/>
        <v>25.658280000000001</v>
      </c>
      <c r="D3433" s="409" t="s">
        <v>1498</v>
      </c>
      <c r="E3433" s="409" t="s">
        <v>1928</v>
      </c>
      <c r="F3433" s="409" t="s">
        <v>6002</v>
      </c>
      <c r="G3433" s="409" t="s">
        <v>6003</v>
      </c>
      <c r="H3433" s="465">
        <v>713.61551999999995</v>
      </c>
      <c r="I3433" s="465">
        <v>25.658280000000001</v>
      </c>
      <c r="J3433" s="465">
        <v>96.930599999999998</v>
      </c>
      <c r="K3433" s="465">
        <v>10226.44657</v>
      </c>
      <c r="L3433" s="464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spodné vedenie 6m biela mat</v>
      </c>
      <c r="C3434" s="185">
        <f t="shared" si="107"/>
        <v>37.914929999999998</v>
      </c>
      <c r="D3434" s="409" t="s">
        <v>1499</v>
      </c>
      <c r="E3434" s="409" t="s">
        <v>1929</v>
      </c>
      <c r="F3434" s="409" t="s">
        <v>6004</v>
      </c>
      <c r="G3434" s="409" t="s">
        <v>2450</v>
      </c>
      <c r="H3434" s="465">
        <v>1054.50082</v>
      </c>
      <c r="I3434" s="465">
        <v>37.914929999999998</v>
      </c>
      <c r="J3434" s="465">
        <v>143.60579999999999</v>
      </c>
      <c r="K3434" s="465">
        <v>15111.493469999999</v>
      </c>
      <c r="L3434" s="464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horné vedenie 1,7m biely mat</v>
      </c>
      <c r="C3435" s="185">
        <f t="shared" si="107"/>
        <v>18.39798</v>
      </c>
      <c r="D3435" s="409" t="s">
        <v>1325</v>
      </c>
      <c r="E3435" s="409" t="s">
        <v>1776</v>
      </c>
      <c r="F3435" s="409" t="s">
        <v>5784</v>
      </c>
      <c r="G3435" s="409" t="s">
        <v>5785</v>
      </c>
      <c r="H3435" s="465">
        <v>511.68982999999997</v>
      </c>
      <c r="I3435" s="465">
        <v>18.39798</v>
      </c>
      <c r="J3435" s="465">
        <v>74.653800000000004</v>
      </c>
      <c r="K3435" s="465">
        <v>7332.7563300000002</v>
      </c>
      <c r="L3435" s="464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horné vedenie 2,35m biela mat</v>
      </c>
      <c r="C3436" s="185">
        <f t="shared" si="107"/>
        <v>25.450099999999999</v>
      </c>
      <c r="D3436" s="409" t="s">
        <v>1326</v>
      </c>
      <c r="E3436" s="409" t="s">
        <v>1777</v>
      </c>
      <c r="F3436" s="409" t="s">
        <v>5786</v>
      </c>
      <c r="G3436" s="409" t="s">
        <v>5787</v>
      </c>
      <c r="H3436" s="465">
        <v>707.82552999999996</v>
      </c>
      <c r="I3436" s="465">
        <v>25.450099999999999</v>
      </c>
      <c r="J3436" s="465">
        <v>103.20359999999999</v>
      </c>
      <c r="K3436" s="465">
        <v>10143.473319999999</v>
      </c>
      <c r="L3436" s="464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horné vedenie 4,05m biela mat</v>
      </c>
      <c r="C3437" s="185">
        <f t="shared" si="107"/>
        <v>43.848080000000003</v>
      </c>
      <c r="D3437" s="409" t="s">
        <v>1327</v>
      </c>
      <c r="E3437" s="409" t="s">
        <v>1778</v>
      </c>
      <c r="F3437" s="409" t="s">
        <v>5788</v>
      </c>
      <c r="G3437" s="409" t="s">
        <v>5789</v>
      </c>
      <c r="H3437" s="465">
        <v>1219.5153600000001</v>
      </c>
      <c r="I3437" s="465">
        <v>43.848080000000003</v>
      </c>
      <c r="J3437" s="465">
        <v>177.9186</v>
      </c>
      <c r="K3437" s="465">
        <v>17476.229630000002</v>
      </c>
      <c r="L3437" s="464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horné vedenie 6m biela mat</v>
      </c>
      <c r="C3438" s="185">
        <f t="shared" si="107"/>
        <v>64.95241</v>
      </c>
      <c r="D3438" s="409" t="s">
        <v>1328</v>
      </c>
      <c r="E3438" s="409" t="s">
        <v>1779</v>
      </c>
      <c r="F3438" s="409" t="s">
        <v>5790</v>
      </c>
      <c r="G3438" s="409" t="s">
        <v>2355</v>
      </c>
      <c r="H3438" s="465">
        <v>1806.47497</v>
      </c>
      <c r="I3438" s="465">
        <v>64.95241</v>
      </c>
      <c r="J3438" s="465">
        <v>263.56799999999998</v>
      </c>
      <c r="K3438" s="465">
        <v>25887.637350000001</v>
      </c>
      <c r="L3438" s="464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uholník Mini 17x11mm 1,7m biely mat</v>
      </c>
      <c r="C3439" s="185">
        <f t="shared" si="107"/>
        <v>3.17476</v>
      </c>
      <c r="D3439" s="409" t="s">
        <v>5791</v>
      </c>
      <c r="E3439" s="409" t="s">
        <v>5792</v>
      </c>
      <c r="F3439" s="409" t="s">
        <v>5793</v>
      </c>
      <c r="G3439" s="409" t="s">
        <v>5794</v>
      </c>
      <c r="H3439" s="465">
        <v>88.297250000000005</v>
      </c>
      <c r="I3439" s="465">
        <v>3.17476</v>
      </c>
      <c r="J3439" s="465">
        <v>12.2094</v>
      </c>
      <c r="K3439" s="465">
        <v>1265.3411599999999</v>
      </c>
      <c r="L3439" s="464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uholník Mini 17x11mm 2,35m biely mat</v>
      </c>
      <c r="C3440" s="185">
        <f t="shared" si="107"/>
        <v>4.3978200000000003</v>
      </c>
      <c r="D3440" s="409" t="s">
        <v>5795</v>
      </c>
      <c r="E3440" s="409" t="s">
        <v>5796</v>
      </c>
      <c r="F3440" s="409" t="s">
        <v>5797</v>
      </c>
      <c r="G3440" s="409" t="s">
        <v>5798</v>
      </c>
      <c r="H3440" s="465">
        <v>122.31341</v>
      </c>
      <c r="I3440" s="465">
        <v>4.3978200000000003</v>
      </c>
      <c r="J3440" s="465">
        <v>16.901399999999999</v>
      </c>
      <c r="K3440" s="465">
        <v>1752.8088</v>
      </c>
      <c r="L3440" s="464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maska Elegant II 6m biela mat</v>
      </c>
      <c r="C3441" s="185">
        <f t="shared" si="107"/>
        <v>11.762219999999999</v>
      </c>
      <c r="D3441" s="409" t="s">
        <v>1329</v>
      </c>
      <c r="E3441" s="409" t="s">
        <v>1780</v>
      </c>
      <c r="F3441" s="409" t="s">
        <v>5799</v>
      </c>
      <c r="G3441" s="409" t="s">
        <v>5800</v>
      </c>
      <c r="H3441" s="465">
        <v>327.13407999999998</v>
      </c>
      <c r="I3441" s="465">
        <v>11.762219999999999</v>
      </c>
      <c r="J3441" s="465">
        <v>43.084800000000001</v>
      </c>
      <c r="K3441" s="465">
        <v>4687.9854999999998</v>
      </c>
      <c r="L3441" s="464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maska Elegant II 1,7m biely mat</v>
      </c>
      <c r="C3442" s="185">
        <f t="shared" si="107"/>
        <v>3.3308900000000001</v>
      </c>
      <c r="D3442" s="409" t="s">
        <v>1330</v>
      </c>
      <c r="E3442" s="409" t="s">
        <v>1781</v>
      </c>
      <c r="F3442" s="409" t="s">
        <v>5801</v>
      </c>
      <c r="G3442" s="409" t="s">
        <v>2356</v>
      </c>
      <c r="H3442" s="465">
        <v>92.639750000000006</v>
      </c>
      <c r="I3442" s="465">
        <v>3.3308900000000001</v>
      </c>
      <c r="J3442" s="465">
        <v>12.199199999999999</v>
      </c>
      <c r="K3442" s="465">
        <v>1327.57123</v>
      </c>
      <c r="L3442" s="464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str">
        <f t="shared" si="106"/>
        <v>SEVROLL Eden hornej vedenie 2,35 m strieborná</v>
      </c>
      <c r="C3443" s="185" t="e">
        <f t="shared" si="107"/>
        <v>#N/A</v>
      </c>
      <c r="D3443" s="409" t="s">
        <v>1331</v>
      </c>
      <c r="E3443" s="409" t="s">
        <v>1782</v>
      </c>
      <c r="F3443" s="409" t="s">
        <v>2155</v>
      </c>
      <c r="G3443" s="409" t="s">
        <v>2357</v>
      </c>
      <c r="H3443" s="465" t="e">
        <v>#N/A</v>
      </c>
      <c r="I3443" s="465" t="e">
        <v>#N/A</v>
      </c>
      <c r="J3443" s="465" t="e">
        <v>#N/A</v>
      </c>
      <c r="K3443" s="465" t="e">
        <v>#N/A</v>
      </c>
      <c r="L3443" s="464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Eden hornej vedenie 2,35 m strieborná</v>
      </c>
      <c r="C3444" s="185">
        <f t="shared" si="107"/>
        <v>28.75497</v>
      </c>
      <c r="D3444" s="409" t="s">
        <v>1332</v>
      </c>
      <c r="E3444" s="409" t="s">
        <v>1783</v>
      </c>
      <c r="F3444" s="409" t="s">
        <v>2155</v>
      </c>
      <c r="G3444" s="409" t="s">
        <v>2357</v>
      </c>
      <c r="H3444" s="465">
        <v>799.74153000000001</v>
      </c>
      <c r="I3444" s="465">
        <v>28.75497</v>
      </c>
      <c r="J3444" s="465">
        <v>120.1152</v>
      </c>
      <c r="K3444" s="465">
        <v>11460.672920000001</v>
      </c>
      <c r="L3444" s="464" t="s">
        <v>539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Eden hornej vedenie 2,35 m strieborná</v>
      </c>
      <c r="C3445" s="185">
        <f t="shared" si="107"/>
        <v>23.49841</v>
      </c>
      <c r="D3445" s="409" t="s">
        <v>1333</v>
      </c>
      <c r="E3445" s="409" t="s">
        <v>1784</v>
      </c>
      <c r="F3445" s="409" t="s">
        <v>2155</v>
      </c>
      <c r="G3445" s="409" t="s">
        <v>2357</v>
      </c>
      <c r="H3445" s="465">
        <v>653.54441999999995</v>
      </c>
      <c r="I3445" s="465">
        <v>23.49841</v>
      </c>
      <c r="J3445" s="465">
        <v>98.032200000000003</v>
      </c>
      <c r="K3445" s="465">
        <v>9365.5994100000007</v>
      </c>
      <c r="L3445" s="464" t="s">
        <v>539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Eden sada kovania pre dvoje dvere</v>
      </c>
      <c r="C3446" s="185">
        <f t="shared" si="107"/>
        <v>134.61491000000001</v>
      </c>
      <c r="D3446" s="409" t="s">
        <v>1334</v>
      </c>
      <c r="E3446" s="409" t="s">
        <v>1785</v>
      </c>
      <c r="F3446" s="409" t="s">
        <v>2156</v>
      </c>
      <c r="G3446" s="409" t="s">
        <v>2358</v>
      </c>
      <c r="H3446" s="465">
        <v>3743.9482899999998</v>
      </c>
      <c r="I3446" s="465">
        <v>134.61491000000001</v>
      </c>
      <c r="J3446" s="465">
        <v>558.78660000000002</v>
      </c>
      <c r="K3446" s="465">
        <v>53652.542829999999</v>
      </c>
      <c r="L3446" s="464" t="s">
        <v>539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Eden sada kovania pre dvoje dvere</v>
      </c>
      <c r="C3447" s="185">
        <f t="shared" si="107"/>
        <v>58.73301</v>
      </c>
      <c r="D3447" s="409" t="s">
        <v>1335</v>
      </c>
      <c r="E3447" s="409" t="s">
        <v>1786</v>
      </c>
      <c r="F3447" s="409" t="s">
        <v>2156</v>
      </c>
      <c r="G3447" s="409" t="s">
        <v>2358</v>
      </c>
      <c r="H3447" s="465">
        <v>1633.4992</v>
      </c>
      <c r="I3447" s="465">
        <v>58.73301</v>
      </c>
      <c r="J3447" s="465">
        <v>284.68200000000002</v>
      </c>
      <c r="K3447" s="465">
        <v>23408.81308</v>
      </c>
      <c r="L3447" s="464" t="s">
        <v>539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maska Elegant II 2,35m biela mat</v>
      </c>
      <c r="C3448" s="185">
        <f t="shared" si="107"/>
        <v>4.6059999999999999</v>
      </c>
      <c r="D3448" s="409" t="s">
        <v>1336</v>
      </c>
      <c r="E3448" s="409" t="s">
        <v>1787</v>
      </c>
      <c r="F3448" s="409" t="s">
        <v>5802</v>
      </c>
      <c r="G3448" s="409" t="s">
        <v>2359</v>
      </c>
      <c r="H3448" s="465">
        <v>128.10339999999999</v>
      </c>
      <c r="I3448" s="465">
        <v>4.6059999999999999</v>
      </c>
      <c r="J3448" s="465">
        <v>16.870799999999999</v>
      </c>
      <c r="K3448" s="465">
        <v>1835.78208</v>
      </c>
      <c r="L3448" s="464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maska Elegant II 3m biela mat</v>
      </c>
      <c r="C3449" s="185">
        <f t="shared" si="107"/>
        <v>5.8811099999999996</v>
      </c>
      <c r="D3449" s="409" t="s">
        <v>1337</v>
      </c>
      <c r="E3449" s="409" t="s">
        <v>1788</v>
      </c>
      <c r="F3449" s="409" t="s">
        <v>5803</v>
      </c>
      <c r="G3449" s="409" t="s">
        <v>2360</v>
      </c>
      <c r="H3449" s="465">
        <v>163.56704999999999</v>
      </c>
      <c r="I3449" s="465">
        <v>5.8811099999999996</v>
      </c>
      <c r="J3449" s="465">
        <v>21.542400000000001</v>
      </c>
      <c r="K3449" s="465">
        <v>2343.9929499999998</v>
      </c>
      <c r="L3449" s="464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maska Elegant II 4,05m biela mat</v>
      </c>
      <c r="C3450" s="185">
        <f t="shared" si="107"/>
        <v>7.93689</v>
      </c>
      <c r="D3450" s="409" t="s">
        <v>1338</v>
      </c>
      <c r="E3450" s="409" t="s">
        <v>1789</v>
      </c>
      <c r="F3450" s="409" t="s">
        <v>5804</v>
      </c>
      <c r="G3450" s="409" t="s">
        <v>2361</v>
      </c>
      <c r="H3450" s="465">
        <v>220.74315000000001</v>
      </c>
      <c r="I3450" s="465">
        <v>7.93689</v>
      </c>
      <c r="J3450" s="465">
        <v>29.07</v>
      </c>
      <c r="K3450" s="465">
        <v>3163.3533000000002</v>
      </c>
      <c r="L3450" s="464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úchytová lišta 18mm 2,7m čierna lesk</v>
      </c>
      <c r="C3451" s="185">
        <f t="shared" si="107"/>
        <v>16.446280000000002</v>
      </c>
      <c r="D3451" s="409" t="s">
        <v>1339</v>
      </c>
      <c r="E3451" s="409" t="s">
        <v>1790</v>
      </c>
      <c r="F3451" s="409" t="s">
        <v>5805</v>
      </c>
      <c r="G3451" s="409" t="s">
        <v>2362</v>
      </c>
      <c r="H3451" s="465">
        <v>457.40872000000002</v>
      </c>
      <c r="I3451" s="465">
        <v>16.446280000000002</v>
      </c>
      <c r="J3451" s="465">
        <v>66.463200000000001</v>
      </c>
      <c r="K3451" s="465">
        <v>6554.8824199999999</v>
      </c>
      <c r="L3451" s="464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úchytová lišta 2,7m čierna lesk</v>
      </c>
      <c r="C3452" s="185">
        <f t="shared" si="107"/>
        <v>21.598759999999999</v>
      </c>
      <c r="D3452" s="409" t="s">
        <v>1340</v>
      </c>
      <c r="E3452" s="409" t="s">
        <v>1791</v>
      </c>
      <c r="F3452" s="409" t="s">
        <v>5806</v>
      </c>
      <c r="G3452" s="409" t="s">
        <v>2363</v>
      </c>
      <c r="H3452" s="465">
        <v>600.71082000000001</v>
      </c>
      <c r="I3452" s="465">
        <v>21.598759999999999</v>
      </c>
      <c r="J3452" s="465">
        <v>80.416799999999995</v>
      </c>
      <c r="K3452" s="465">
        <v>8608.4691000000003</v>
      </c>
      <c r="L3452" s="464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spojovacia lišta H10 3m čierna lesk</v>
      </c>
      <c r="C3453" s="185">
        <f t="shared" si="107"/>
        <v>15.82174</v>
      </c>
      <c r="D3453" s="409" t="s">
        <v>1341</v>
      </c>
      <c r="E3453" s="409" t="s">
        <v>1792</v>
      </c>
      <c r="F3453" s="409" t="s">
        <v>5807</v>
      </c>
      <c r="G3453" s="409" t="s">
        <v>2364</v>
      </c>
      <c r="H3453" s="465">
        <v>440.03877999999997</v>
      </c>
      <c r="I3453" s="465">
        <v>15.82174</v>
      </c>
      <c r="J3453" s="465">
        <v>67.289400000000001</v>
      </c>
      <c r="K3453" s="465">
        <v>6305.9629800000002</v>
      </c>
      <c r="L3453" s="464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horné vedenie 2,35m čierna lesk</v>
      </c>
      <c r="C3454" s="185">
        <f t="shared" si="107"/>
        <v>25.450099999999999</v>
      </c>
      <c r="D3454" s="409" t="s">
        <v>1431</v>
      </c>
      <c r="E3454" s="409" t="s">
        <v>1871</v>
      </c>
      <c r="F3454" s="409" t="s">
        <v>5894</v>
      </c>
      <c r="G3454" s="409" t="s">
        <v>5895</v>
      </c>
      <c r="H3454" s="465">
        <v>707.82552999999996</v>
      </c>
      <c r="I3454" s="465">
        <v>25.450099999999999</v>
      </c>
      <c r="J3454" s="465">
        <v>103.20359999999999</v>
      </c>
      <c r="K3454" s="465">
        <v>10143.473319999999</v>
      </c>
      <c r="L3454" s="464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spodné vedenie 2,35m čierna lesk</v>
      </c>
      <c r="C3455" s="185">
        <f t="shared" si="107"/>
        <v>14.91095</v>
      </c>
      <c r="D3455" s="409" t="s">
        <v>1432</v>
      </c>
      <c r="E3455" s="409" t="s">
        <v>1872</v>
      </c>
      <c r="F3455" s="409" t="s">
        <v>5896</v>
      </c>
      <c r="G3455" s="409" t="s">
        <v>5897</v>
      </c>
      <c r="H3455" s="465">
        <v>414.70758000000001</v>
      </c>
      <c r="I3455" s="465">
        <v>14.91095</v>
      </c>
      <c r="J3455" s="465">
        <v>56.242800000000003</v>
      </c>
      <c r="K3455" s="465">
        <v>5942.9550600000002</v>
      </c>
      <c r="L3455" s="464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maska Elegant II 2,35m čierna lesk</v>
      </c>
      <c r="C3456" s="185">
        <f t="shared" si="107"/>
        <v>4.6059999999999999</v>
      </c>
      <c r="D3456" s="409" t="s">
        <v>1433</v>
      </c>
      <c r="E3456" s="409" t="s">
        <v>1873</v>
      </c>
      <c r="F3456" s="409" t="s">
        <v>5898</v>
      </c>
      <c r="G3456" s="409" t="s">
        <v>2411</v>
      </c>
      <c r="H3456" s="465">
        <v>128.10339999999999</v>
      </c>
      <c r="I3456" s="465">
        <v>4.6059999999999999</v>
      </c>
      <c r="J3456" s="465">
        <v>16.870799999999999</v>
      </c>
      <c r="K3456" s="465">
        <v>1835.78208</v>
      </c>
      <c r="L3456" s="464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sada kovania pre vnútorné dvere</v>
      </c>
      <c r="C3457" s="185">
        <f t="shared" si="107"/>
        <v>13.32357</v>
      </c>
      <c r="D3457" s="409" t="s">
        <v>1434</v>
      </c>
      <c r="E3457" s="409" t="s">
        <v>5899</v>
      </c>
      <c r="F3457" s="409" t="s">
        <v>5900</v>
      </c>
      <c r="G3457" s="409" t="s">
        <v>5901</v>
      </c>
      <c r="H3457" s="465">
        <v>370.55896000000001</v>
      </c>
      <c r="I3457" s="465">
        <v>13.32357</v>
      </c>
      <c r="J3457" s="465">
        <v>46.430399999999999</v>
      </c>
      <c r="K3457" s="465">
        <v>5310.2844699999996</v>
      </c>
      <c r="L3457" s="464" t="s">
        <v>539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vozík pre interiérové dvere Simple 18 Inter/Galaxy 35/50kg</v>
      </c>
      <c r="C3458" s="185">
        <f t="shared" si="107"/>
        <v>8.6395</v>
      </c>
      <c r="D3458" s="409" t="s">
        <v>1435</v>
      </c>
      <c r="E3458" s="409" t="s">
        <v>5902</v>
      </c>
      <c r="F3458" s="409" t="s">
        <v>5903</v>
      </c>
      <c r="G3458" s="409" t="s">
        <v>2412</v>
      </c>
      <c r="H3458" s="465">
        <v>229.04801</v>
      </c>
      <c r="I3458" s="465">
        <v>8.6395</v>
      </c>
      <c r="J3458" s="465">
        <v>29.475570000000001</v>
      </c>
      <c r="K3458" s="465">
        <v>3345.8016699999998</v>
      </c>
      <c r="L3458" s="464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tĺmič pre interiérové dvere Simple 18 Galaxy 50kg</v>
      </c>
      <c r="C3459" s="185">
        <f t="shared" si="107"/>
        <v>25.398060000000001</v>
      </c>
      <c r="D3459" s="409" t="s">
        <v>1436</v>
      </c>
      <c r="E3459" s="409" t="s">
        <v>5904</v>
      </c>
      <c r="F3459" s="409" t="s">
        <v>5905</v>
      </c>
      <c r="G3459" s="409" t="s">
        <v>2413</v>
      </c>
      <c r="H3459" s="465">
        <v>673.34596999999997</v>
      </c>
      <c r="I3459" s="465">
        <v>25.398060000000001</v>
      </c>
      <c r="J3459" s="465">
        <v>86.651060000000001</v>
      </c>
      <c r="K3459" s="465">
        <v>9835.8510999999999</v>
      </c>
      <c r="L3459" s="464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/>
      </c>
      <c r="C3460" s="185">
        <f t="shared" ref="C3460:C3523" si="109">IF($A$2=1,H3460,IF($A$2=2,I3460,IF($A$2=3,J3460,IF($A$2=4,K3460,IF($A$2&gt;4,O3460,"zadat jazyk")))))</f>
        <v>17.279</v>
      </c>
      <c r="D3460" s="409" t="s">
        <v>1437</v>
      </c>
      <c r="E3460" s="409" t="s">
        <v>5906</v>
      </c>
      <c r="F3460" s="409" t="s">
        <v>68</v>
      </c>
      <c r="G3460" s="409" t="s">
        <v>2414</v>
      </c>
      <c r="H3460" s="465">
        <v>458.09602000000001</v>
      </c>
      <c r="I3460" s="465">
        <v>17.279</v>
      </c>
      <c r="J3460" s="465">
        <v>58.951140000000002</v>
      </c>
      <c r="K3460" s="465">
        <v>6691.6033399999997</v>
      </c>
      <c r="L3460" s="464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str">
        <f t="shared" si="108"/>
        <v>SEVROLL 214-695 krycia lišta Herkules II 2m strieborná</v>
      </c>
      <c r="C3461" s="185" t="e">
        <f t="shared" si="109"/>
        <v>#N/A</v>
      </c>
      <c r="D3461" s="409" t="s">
        <v>1438</v>
      </c>
      <c r="E3461" s="409" t="s">
        <v>1874</v>
      </c>
      <c r="F3461" s="409" t="s">
        <v>5907</v>
      </c>
      <c r="G3461" s="409" t="s">
        <v>5908</v>
      </c>
      <c r="H3461" s="465" t="e">
        <v>#N/A</v>
      </c>
      <c r="I3461" s="465" t="e">
        <v>#N/A</v>
      </c>
      <c r="J3461" s="465" t="e">
        <v>#N/A</v>
      </c>
      <c r="K3461" s="465" t="e">
        <v>#N/A</v>
      </c>
      <c r="L3461" s="464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str">
        <f t="shared" si="108"/>
        <v>SEVROLL 214-615 krycia lišta Herkules Wood 2m strieborná</v>
      </c>
      <c r="C3462" s="185" t="e">
        <f t="shared" si="109"/>
        <v>#N/A</v>
      </c>
      <c r="D3462" s="409" t="s">
        <v>1439</v>
      </c>
      <c r="E3462" s="409" t="s">
        <v>1875</v>
      </c>
      <c r="F3462" s="409" t="s">
        <v>5909</v>
      </c>
      <c r="G3462" s="409" t="s">
        <v>5910</v>
      </c>
      <c r="H3462" s="465" t="e">
        <v>#N/A</v>
      </c>
      <c r="I3462" s="465" t="e">
        <v>#N/A</v>
      </c>
      <c r="J3462" s="465" t="e">
        <v>#N/A</v>
      </c>
      <c r="K3462" s="465" t="e">
        <v>#N/A</v>
      </c>
      <c r="L3462" s="464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str">
        <f t="shared" si="108"/>
        <v>SEVROLL 219-036 Herkules Wood sada krycia lišta strieborná, 2x krytka a kefka</v>
      </c>
      <c r="C3463" s="185" t="e">
        <f t="shared" si="109"/>
        <v>#N/A</v>
      </c>
      <c r="D3463" s="409" t="s">
        <v>1440</v>
      </c>
      <c r="E3463" s="409" t="s">
        <v>1876</v>
      </c>
      <c r="F3463" s="409" t="s">
        <v>5911</v>
      </c>
      <c r="G3463" s="409" t="s">
        <v>5912</v>
      </c>
      <c r="H3463" s="465" t="e">
        <v>#N/A</v>
      </c>
      <c r="I3463" s="465" t="e">
        <v>#N/A</v>
      </c>
      <c r="J3463" s="465" t="e">
        <v>#N/A</v>
      </c>
      <c r="K3463" s="465" t="e">
        <v>#N/A</v>
      </c>
      <c r="L3463" s="464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Top horné vedenie jednoduché 2,35m strieborná</v>
      </c>
      <c r="C3464" s="185">
        <f t="shared" si="109"/>
        <v>26.12669</v>
      </c>
      <c r="D3464" s="409" t="s">
        <v>1474</v>
      </c>
      <c r="E3464" s="409" t="s">
        <v>1904</v>
      </c>
      <c r="F3464" s="409" t="s">
        <v>2177</v>
      </c>
      <c r="G3464" s="409" t="s">
        <v>2433</v>
      </c>
      <c r="H3464" s="465">
        <v>726.64296000000002</v>
      </c>
      <c r="I3464" s="465">
        <v>26.12669</v>
      </c>
      <c r="J3464" s="465">
        <v>91.1982</v>
      </c>
      <c r="K3464" s="465">
        <v>10413.13596</v>
      </c>
      <c r="L3464" s="464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sada kovania pro interiérové dvere Simple 18 Galaxy 50kg brzda + tlmič</v>
      </c>
      <c r="C3465" s="185">
        <f t="shared" si="109"/>
        <v>34.037559999999999</v>
      </c>
      <c r="D3465" s="409" t="s">
        <v>1475</v>
      </c>
      <c r="E3465" s="409" t="s">
        <v>1905</v>
      </c>
      <c r="F3465" s="409" t="s">
        <v>5975</v>
      </c>
      <c r="G3465" s="409" t="s">
        <v>5976</v>
      </c>
      <c r="H3465" s="465">
        <v>902.39398000000006</v>
      </c>
      <c r="I3465" s="465">
        <v>34.037559999999999</v>
      </c>
      <c r="J3465" s="465">
        <v>116.12663000000001</v>
      </c>
      <c r="K3465" s="465">
        <v>13181.652770000001</v>
      </c>
      <c r="L3465" s="464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sada kovania pro interiérové dvere Simple 18 Galaxy 50kg  2x tlmič</v>
      </c>
      <c r="C3466" s="185">
        <f t="shared" si="109"/>
        <v>50.796120000000002</v>
      </c>
      <c r="D3466" s="409" t="s">
        <v>1476</v>
      </c>
      <c r="E3466" s="409" t="s">
        <v>1906</v>
      </c>
      <c r="F3466" s="409" t="s">
        <v>5977</v>
      </c>
      <c r="G3466" s="409" t="s">
        <v>5978</v>
      </c>
      <c r="H3466" s="465">
        <v>1346.6919399999999</v>
      </c>
      <c r="I3466" s="465">
        <v>50.796120000000002</v>
      </c>
      <c r="J3466" s="465">
        <v>173.30212</v>
      </c>
      <c r="K3466" s="465">
        <v>19671.7022</v>
      </c>
      <c r="L3466" s="464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profil "U" pre lamino 18mm 3m čierna lesk</v>
      </c>
      <c r="C3467" s="185">
        <f t="shared" si="109"/>
        <v>6.1933800000000003</v>
      </c>
      <c r="D3467" s="409" t="s">
        <v>1452</v>
      </c>
      <c r="E3467" s="409" t="s">
        <v>1882</v>
      </c>
      <c r="F3467" s="409" t="s">
        <v>5932</v>
      </c>
      <c r="G3467" s="409" t="s">
        <v>2420</v>
      </c>
      <c r="H3467" s="465">
        <v>172.25201999999999</v>
      </c>
      <c r="I3467" s="465">
        <v>6.1933800000000003</v>
      </c>
      <c r="J3467" s="465">
        <v>27.009599999999999</v>
      </c>
      <c r="K3467" s="465">
        <v>2468.4526700000001</v>
      </c>
      <c r="L3467" s="464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uholník Mini 17x11mm 1,7m čiena lesk</v>
      </c>
      <c r="C3468" s="185">
        <f t="shared" si="109"/>
        <v>3.17476</v>
      </c>
      <c r="D3468" s="409" t="s">
        <v>5933</v>
      </c>
      <c r="E3468" s="409" t="s">
        <v>5934</v>
      </c>
      <c r="F3468" s="409" t="s">
        <v>5935</v>
      </c>
      <c r="G3468" s="409" t="s">
        <v>5936</v>
      </c>
      <c r="H3468" s="465">
        <v>88.297250000000005</v>
      </c>
      <c r="I3468" s="465">
        <v>3.17476</v>
      </c>
      <c r="J3468" s="465">
        <v>12.2094</v>
      </c>
      <c r="K3468" s="465">
        <v>1265.3411599999999</v>
      </c>
      <c r="L3468" s="464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uholník Mini 17x11mm 2,35m čierna lesk</v>
      </c>
      <c r="C3469" s="185">
        <f t="shared" si="109"/>
        <v>4.3978200000000003</v>
      </c>
      <c r="D3469" s="409" t="s">
        <v>5937</v>
      </c>
      <c r="E3469" s="409" t="s">
        <v>5938</v>
      </c>
      <c r="F3469" s="409" t="s">
        <v>5939</v>
      </c>
      <c r="G3469" s="409" t="s">
        <v>5940</v>
      </c>
      <c r="H3469" s="465">
        <v>122.31341</v>
      </c>
      <c r="I3469" s="465">
        <v>4.3978200000000003</v>
      </c>
      <c r="J3469" s="465">
        <v>16.901399999999999</v>
      </c>
      <c r="K3469" s="465">
        <v>1752.8088</v>
      </c>
      <c r="L3469" s="464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uholník Mini 17x11mm 3m čierna lesk</v>
      </c>
      <c r="C3470" s="185">
        <f t="shared" si="109"/>
        <v>5.6208799999999997</v>
      </c>
      <c r="D3470" s="409" t="s">
        <v>5941</v>
      </c>
      <c r="E3470" s="409" t="s">
        <v>5942</v>
      </c>
      <c r="F3470" s="409" t="s">
        <v>5943</v>
      </c>
      <c r="G3470" s="409" t="s">
        <v>5944</v>
      </c>
      <c r="H3470" s="465">
        <v>156.32956999999999</v>
      </c>
      <c r="I3470" s="465">
        <v>5.6208799999999997</v>
      </c>
      <c r="J3470" s="465">
        <v>21.583200000000001</v>
      </c>
      <c r="K3470" s="465">
        <v>2240.27646</v>
      </c>
      <c r="L3470" s="464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spodná krycia lišta 1,7m 10mm čierna lesk</v>
      </c>
      <c r="C3471" s="185">
        <f t="shared" si="109"/>
        <v>19.048539999999999</v>
      </c>
      <c r="D3471" s="409" t="s">
        <v>3443</v>
      </c>
      <c r="E3471" s="409" t="s">
        <v>1883</v>
      </c>
      <c r="F3471" s="409" t="s">
        <v>5945</v>
      </c>
      <c r="G3471" s="409" t="s">
        <v>5946</v>
      </c>
      <c r="H3471" s="465">
        <v>529.78351999999995</v>
      </c>
      <c r="I3471" s="465">
        <v>19.048539999999999</v>
      </c>
      <c r="J3471" s="465">
        <v>70.369799999999998</v>
      </c>
      <c r="K3471" s="465">
        <v>7592.0473700000002</v>
      </c>
      <c r="L3471" s="464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spodná krycia lišta 2,35m 10mm čierna lesk</v>
      </c>
      <c r="C3472" s="185">
        <f t="shared" si="109"/>
        <v>26.30885</v>
      </c>
      <c r="D3472" s="409" t="s">
        <v>3444</v>
      </c>
      <c r="E3472" s="409" t="s">
        <v>1884</v>
      </c>
      <c r="F3472" s="409" t="s">
        <v>5947</v>
      </c>
      <c r="G3472" s="409" t="s">
        <v>5948</v>
      </c>
      <c r="H3472" s="465">
        <v>731.70920999999998</v>
      </c>
      <c r="I3472" s="465">
        <v>26.30885</v>
      </c>
      <c r="J3472" s="465">
        <v>97.287599999999998</v>
      </c>
      <c r="K3472" s="465">
        <v>10485.73761</v>
      </c>
      <c r="L3472" s="464" t="s">
        <v>538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spodná krycia lišta 3m 10mm čierna lesk</v>
      </c>
      <c r="C3473" s="185">
        <f t="shared" si="109"/>
        <v>33.67324</v>
      </c>
      <c r="D3473" s="409" t="s">
        <v>3445</v>
      </c>
      <c r="E3473" s="409" t="s">
        <v>1885</v>
      </c>
      <c r="F3473" s="409" t="s">
        <v>5949</v>
      </c>
      <c r="G3473" s="409" t="s">
        <v>5950</v>
      </c>
      <c r="H3473" s="465">
        <v>936.52988000000005</v>
      </c>
      <c r="I3473" s="465">
        <v>33.67324</v>
      </c>
      <c r="J3473" s="465">
        <v>124.22580000000001</v>
      </c>
      <c r="K3473" s="465">
        <v>13420.91432</v>
      </c>
      <c r="L3473" s="464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horná vodiaca lišta 1,7m čierna lesk</v>
      </c>
      <c r="C3474" s="185">
        <f t="shared" si="109"/>
        <v>10.487109999999999</v>
      </c>
      <c r="D3474" s="409" t="s">
        <v>1456</v>
      </c>
      <c r="E3474" s="409" t="s">
        <v>1886</v>
      </c>
      <c r="F3474" s="409" t="s">
        <v>5951</v>
      </c>
      <c r="G3474" s="409" t="s">
        <v>2421</v>
      </c>
      <c r="H3474" s="465">
        <v>291.67043000000001</v>
      </c>
      <c r="I3474" s="465">
        <v>10.487109999999999</v>
      </c>
      <c r="J3474" s="465">
        <v>59.986199999999997</v>
      </c>
      <c r="K3474" s="465">
        <v>4179.7746299999999</v>
      </c>
      <c r="L3474" s="464" t="s">
        <v>538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horná vodiaca lišta 2,35m černa lesk</v>
      </c>
      <c r="C3475" s="185">
        <f t="shared" si="109"/>
        <v>14.52061</v>
      </c>
      <c r="D3475" s="409" t="s">
        <v>1457</v>
      </c>
      <c r="E3475" s="409" t="s">
        <v>1887</v>
      </c>
      <c r="F3475" s="409" t="s">
        <v>5952</v>
      </c>
      <c r="G3475" s="409" t="s">
        <v>2422</v>
      </c>
      <c r="H3475" s="465">
        <v>403.85138000000001</v>
      </c>
      <c r="I3475" s="465">
        <v>14.52061</v>
      </c>
      <c r="J3475" s="465">
        <v>82.936199999999999</v>
      </c>
      <c r="K3475" s="465">
        <v>5787.3805000000002</v>
      </c>
      <c r="L3475" s="464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horná vodiaca lišta 3m čierna lesk</v>
      </c>
      <c r="C3476" s="185">
        <f t="shared" si="109"/>
        <v>18.528089999999999</v>
      </c>
      <c r="D3476" s="409" t="s">
        <v>1458</v>
      </c>
      <c r="E3476" s="409" t="s">
        <v>1888</v>
      </c>
      <c r="F3476" s="409" t="s">
        <v>5953</v>
      </c>
      <c r="G3476" s="409" t="s">
        <v>2423</v>
      </c>
      <c r="H3476" s="465">
        <v>515.30856000000006</v>
      </c>
      <c r="I3476" s="465">
        <v>18.528089999999999</v>
      </c>
      <c r="J3476" s="465">
        <v>105.8454</v>
      </c>
      <c r="K3476" s="465">
        <v>7384.61438</v>
      </c>
      <c r="L3476" s="464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spojovacia lišta H18 3m čierna lesk</v>
      </c>
      <c r="C3477" s="185">
        <f t="shared" si="109"/>
        <v>15.587540000000001</v>
      </c>
      <c r="D3477" s="409" t="s">
        <v>1459</v>
      </c>
      <c r="E3477" s="409" t="s">
        <v>1889</v>
      </c>
      <c r="F3477" s="409" t="s">
        <v>5954</v>
      </c>
      <c r="G3477" s="409" t="s">
        <v>2424</v>
      </c>
      <c r="H3477" s="465">
        <v>433.52503999999999</v>
      </c>
      <c r="I3477" s="465">
        <v>15.587540000000001</v>
      </c>
      <c r="J3477" s="465">
        <v>62.464799999999997</v>
      </c>
      <c r="K3477" s="465">
        <v>6212.6180999999997</v>
      </c>
      <c r="L3477" s="464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spodne vedenie 1,7m čierna lesk</v>
      </c>
      <c r="C3478" s="185">
        <f t="shared" si="109"/>
        <v>10.851419999999999</v>
      </c>
      <c r="D3478" s="409" t="s">
        <v>1460</v>
      </c>
      <c r="E3478" s="409" t="s">
        <v>1890</v>
      </c>
      <c r="F3478" s="409" t="s">
        <v>5955</v>
      </c>
      <c r="G3478" s="409" t="s">
        <v>5956</v>
      </c>
      <c r="H3478" s="465">
        <v>301.80291999999997</v>
      </c>
      <c r="I3478" s="465">
        <v>10.851419999999999</v>
      </c>
      <c r="J3478" s="465">
        <v>40.698</v>
      </c>
      <c r="K3478" s="465">
        <v>4324.9779799999997</v>
      </c>
      <c r="L3478" s="464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spodné vedenie 3m čierna lesk</v>
      </c>
      <c r="C3479" s="185">
        <f t="shared" si="109"/>
        <v>18.94445</v>
      </c>
      <c r="D3479" s="409" t="s">
        <v>1461</v>
      </c>
      <c r="E3479" s="409" t="s">
        <v>1891</v>
      </c>
      <c r="F3479" s="409" t="s">
        <v>5957</v>
      </c>
      <c r="G3479" s="409" t="s">
        <v>5958</v>
      </c>
      <c r="H3479" s="465">
        <v>526.88854000000003</v>
      </c>
      <c r="I3479" s="465">
        <v>18.94445</v>
      </c>
      <c r="J3479" s="465">
        <v>71.808000000000007</v>
      </c>
      <c r="K3479" s="465">
        <v>7550.5609299999996</v>
      </c>
      <c r="L3479" s="464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spodné vedenie 4,05m čierna lesk</v>
      </c>
      <c r="C3480" s="185">
        <f t="shared" si="109"/>
        <v>25.658280000000001</v>
      </c>
      <c r="D3480" s="409" t="s">
        <v>1462</v>
      </c>
      <c r="E3480" s="409" t="s">
        <v>1892</v>
      </c>
      <c r="F3480" s="409" t="s">
        <v>5959</v>
      </c>
      <c r="G3480" s="409" t="s">
        <v>5960</v>
      </c>
      <c r="H3480" s="465">
        <v>713.61551999999995</v>
      </c>
      <c r="I3480" s="465">
        <v>25.658280000000001</v>
      </c>
      <c r="J3480" s="465">
        <v>96.930599999999998</v>
      </c>
      <c r="K3480" s="465">
        <v>10226.44657</v>
      </c>
      <c r="L3480" s="464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spodné vedenie 6m čierna lesk</v>
      </c>
      <c r="C3481" s="185">
        <f t="shared" si="109"/>
        <v>37.914929999999998</v>
      </c>
      <c r="D3481" s="409" t="s">
        <v>1463</v>
      </c>
      <c r="E3481" s="409" t="s">
        <v>1893</v>
      </c>
      <c r="F3481" s="409" t="s">
        <v>5961</v>
      </c>
      <c r="G3481" s="409" t="s">
        <v>2425</v>
      </c>
      <c r="H3481" s="465">
        <v>1054.50082</v>
      </c>
      <c r="I3481" s="465">
        <v>37.914929999999998</v>
      </c>
      <c r="J3481" s="465">
        <v>143.60579999999999</v>
      </c>
      <c r="K3481" s="465">
        <v>15111.493469999999</v>
      </c>
      <c r="L3481" s="464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horné vedenie 1,7m čierna lesk</v>
      </c>
      <c r="C3482" s="185">
        <f t="shared" si="109"/>
        <v>18.39798</v>
      </c>
      <c r="D3482" s="409" t="s">
        <v>1464</v>
      </c>
      <c r="E3482" s="409" t="s">
        <v>1894</v>
      </c>
      <c r="F3482" s="409" t="s">
        <v>5962</v>
      </c>
      <c r="G3482" s="409" t="s">
        <v>5963</v>
      </c>
      <c r="H3482" s="465">
        <v>511.68982999999997</v>
      </c>
      <c r="I3482" s="465">
        <v>18.39798</v>
      </c>
      <c r="J3482" s="465">
        <v>74.653800000000004</v>
      </c>
      <c r="K3482" s="465">
        <v>7332.7563300000002</v>
      </c>
      <c r="L3482" s="464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horné vedenie 3m čierna lesk</v>
      </c>
      <c r="C3483" s="185">
        <f t="shared" si="109"/>
        <v>32.476199999999999</v>
      </c>
      <c r="D3483" s="409" t="s">
        <v>1465</v>
      </c>
      <c r="E3483" s="409" t="s">
        <v>1895</v>
      </c>
      <c r="F3483" s="409" t="s">
        <v>5964</v>
      </c>
      <c r="G3483" s="409" t="s">
        <v>5965</v>
      </c>
      <c r="H3483" s="465">
        <v>903.23748000000001</v>
      </c>
      <c r="I3483" s="465">
        <v>32.476199999999999</v>
      </c>
      <c r="J3483" s="465">
        <v>131.79419999999999</v>
      </c>
      <c r="K3483" s="465">
        <v>12943.81868</v>
      </c>
      <c r="L3483" s="464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horné vedenie 4,05m čierna lesk</v>
      </c>
      <c r="C3484" s="185">
        <f t="shared" si="109"/>
        <v>43.848080000000003</v>
      </c>
      <c r="D3484" s="409" t="s">
        <v>1466</v>
      </c>
      <c r="E3484" s="409" t="s">
        <v>1896</v>
      </c>
      <c r="F3484" s="409" t="s">
        <v>5966</v>
      </c>
      <c r="G3484" s="409" t="s">
        <v>5967</v>
      </c>
      <c r="H3484" s="465">
        <v>1219.5153600000001</v>
      </c>
      <c r="I3484" s="465">
        <v>43.848080000000003</v>
      </c>
      <c r="J3484" s="465">
        <v>177.9186</v>
      </c>
      <c r="K3484" s="465">
        <v>17476.229630000002</v>
      </c>
      <c r="L3484" s="464" t="s">
        <v>538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horné vedenie 6m čierna lesk</v>
      </c>
      <c r="C3485" s="185">
        <f t="shared" si="109"/>
        <v>64.95241</v>
      </c>
      <c r="D3485" s="409" t="s">
        <v>1467</v>
      </c>
      <c r="E3485" s="409" t="s">
        <v>1897</v>
      </c>
      <c r="F3485" s="409" t="s">
        <v>5968</v>
      </c>
      <c r="G3485" s="409" t="s">
        <v>2426</v>
      </c>
      <c r="H3485" s="465">
        <v>1806.47497</v>
      </c>
      <c r="I3485" s="465">
        <v>64.95241</v>
      </c>
      <c r="J3485" s="465">
        <v>263.56799999999998</v>
      </c>
      <c r="K3485" s="465">
        <v>25887.637350000001</v>
      </c>
      <c r="L3485" s="464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maska Elegant II 1,7m čierna lesk</v>
      </c>
      <c r="C3486" s="185">
        <f t="shared" si="109"/>
        <v>3.3308900000000001</v>
      </c>
      <c r="D3486" s="409" t="s">
        <v>1468</v>
      </c>
      <c r="E3486" s="409" t="s">
        <v>1898</v>
      </c>
      <c r="F3486" s="409" t="s">
        <v>5969</v>
      </c>
      <c r="G3486" s="409" t="s">
        <v>2427</v>
      </c>
      <c r="H3486" s="465">
        <v>92.639750000000006</v>
      </c>
      <c r="I3486" s="465">
        <v>3.3308900000000001</v>
      </c>
      <c r="J3486" s="465">
        <v>12.199199999999999</v>
      </c>
      <c r="K3486" s="465">
        <v>1327.57123</v>
      </c>
      <c r="L3486" s="464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maska Elegant II 3m čierna lesk</v>
      </c>
      <c r="C3487" s="185">
        <f t="shared" si="109"/>
        <v>5.8811099999999996</v>
      </c>
      <c r="D3487" s="409" t="s">
        <v>1469</v>
      </c>
      <c r="E3487" s="409" t="s">
        <v>1899</v>
      </c>
      <c r="F3487" s="409" t="s">
        <v>5970</v>
      </c>
      <c r="G3487" s="409" t="s">
        <v>2428</v>
      </c>
      <c r="H3487" s="465">
        <v>163.56704999999999</v>
      </c>
      <c r="I3487" s="465">
        <v>5.8811099999999996</v>
      </c>
      <c r="J3487" s="465">
        <v>21.542400000000001</v>
      </c>
      <c r="K3487" s="465">
        <v>2343.9929499999998</v>
      </c>
      <c r="L3487" s="464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maska Elegant II 4,05m čierna lesk</v>
      </c>
      <c r="C3488" s="185">
        <f t="shared" si="109"/>
        <v>7.93689</v>
      </c>
      <c r="D3488" s="409" t="s">
        <v>1470</v>
      </c>
      <c r="E3488" s="409" t="s">
        <v>1900</v>
      </c>
      <c r="F3488" s="409" t="s">
        <v>5971</v>
      </c>
      <c r="G3488" s="409" t="s">
        <v>2429</v>
      </c>
      <c r="H3488" s="465">
        <v>220.74315000000001</v>
      </c>
      <c r="I3488" s="465">
        <v>7.93689</v>
      </c>
      <c r="J3488" s="465">
        <v>29.07</v>
      </c>
      <c r="K3488" s="465">
        <v>3163.3533000000002</v>
      </c>
      <c r="L3488" s="464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maska Elegant II 6m čierna lesk</v>
      </c>
      <c r="C3489" s="185">
        <f t="shared" si="109"/>
        <v>11.762219999999999</v>
      </c>
      <c r="D3489" s="409" t="s">
        <v>1471</v>
      </c>
      <c r="E3489" s="409" t="s">
        <v>1901</v>
      </c>
      <c r="F3489" s="409" t="s">
        <v>5972</v>
      </c>
      <c r="G3489" s="409" t="s">
        <v>2430</v>
      </c>
      <c r="H3489" s="465">
        <v>327.13407999999998</v>
      </c>
      <c r="I3489" s="465">
        <v>11.762219999999999</v>
      </c>
      <c r="J3489" s="465">
        <v>43.084800000000001</v>
      </c>
      <c r="K3489" s="465">
        <v>4687.9854999999998</v>
      </c>
      <c r="L3489" s="464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str">
        <f t="shared" si="108"/>
        <v>SEVROLL Porto úchytová lišta 3m strieborn</v>
      </c>
      <c r="C3490" s="185" t="e">
        <f t="shared" si="109"/>
        <v>#N/A</v>
      </c>
      <c r="D3490" s="409" t="s">
        <v>1314</v>
      </c>
      <c r="E3490" s="409" t="s">
        <v>1767</v>
      </c>
      <c r="F3490" s="409" t="s">
        <v>2150</v>
      </c>
      <c r="G3490" s="409" t="s">
        <v>2347</v>
      </c>
      <c r="H3490" s="465" t="e">
        <v>#N/A</v>
      </c>
      <c r="I3490" s="465" t="e">
        <v>#N/A</v>
      </c>
      <c r="J3490" s="465" t="e">
        <v>#N/A</v>
      </c>
      <c r="K3490" s="465" t="e">
        <v>#N/A</v>
      </c>
      <c r="L3490" s="464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str">
        <f t="shared" si="108"/>
        <v>SEVROLL Porto úchytová lišta 3m oliva</v>
      </c>
      <c r="C3491" s="185" t="e">
        <f t="shared" si="109"/>
        <v>#N/A</v>
      </c>
      <c r="D3491" s="409" t="s">
        <v>1315</v>
      </c>
      <c r="E3491" s="409" t="s">
        <v>1768</v>
      </c>
      <c r="F3491" s="409" t="s">
        <v>2151</v>
      </c>
      <c r="G3491" s="409" t="s">
        <v>2348</v>
      </c>
      <c r="H3491" s="465" t="e">
        <v>#N/A</v>
      </c>
      <c r="I3491" s="465" t="e">
        <v>#N/A</v>
      </c>
      <c r="J3491" s="465" t="e">
        <v>#N/A</v>
      </c>
      <c r="K3491" s="465" t="e">
        <v>#N/A</v>
      </c>
      <c r="L3491" s="464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str">
        <f t="shared" si="108"/>
        <v>SEVROLL Maxim horné vedenie 1,8m oliva</v>
      </c>
      <c r="C3492" s="185" t="e">
        <f t="shared" si="109"/>
        <v>#N/A</v>
      </c>
      <c r="D3492" s="409" t="s">
        <v>1316</v>
      </c>
      <c r="E3492" s="409" t="s">
        <v>1769</v>
      </c>
      <c r="F3492" s="409" t="s">
        <v>2152</v>
      </c>
      <c r="G3492" s="409" t="s">
        <v>2349</v>
      </c>
      <c r="H3492" s="465" t="e">
        <v>#N/A</v>
      </c>
      <c r="I3492" s="465" t="e">
        <v>#N/A</v>
      </c>
      <c r="J3492" s="465" t="e">
        <v>#N/A</v>
      </c>
      <c r="K3492" s="465" t="e">
        <v>#N/A</v>
      </c>
      <c r="L3492" s="464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spojovacia lišta H18 3m biela mat</v>
      </c>
      <c r="C3493" s="185">
        <f t="shared" si="109"/>
        <v>15.587540000000001</v>
      </c>
      <c r="D3493" s="409" t="s">
        <v>1317</v>
      </c>
      <c r="E3493" s="409" t="s">
        <v>1770</v>
      </c>
      <c r="F3493" s="409" t="s">
        <v>5776</v>
      </c>
      <c r="G3493" s="409" t="s">
        <v>2350</v>
      </c>
      <c r="H3493" s="465">
        <v>433.52503999999999</v>
      </c>
      <c r="I3493" s="465">
        <v>15.587540000000001</v>
      </c>
      <c r="J3493" s="465">
        <v>62.464799999999997</v>
      </c>
      <c r="K3493" s="465">
        <v>6212.6180999999997</v>
      </c>
      <c r="L3493" s="464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profil "U" pre lamino 18mm 3m biela mat</v>
      </c>
      <c r="C3494" s="185">
        <f t="shared" si="109"/>
        <v>6.1933800000000003</v>
      </c>
      <c r="D3494" s="409" t="s">
        <v>1318</v>
      </c>
      <c r="E3494" s="409" t="s">
        <v>1771</v>
      </c>
      <c r="F3494" s="409" t="s">
        <v>5777</v>
      </c>
      <c r="G3494" s="409" t="s">
        <v>2351</v>
      </c>
      <c r="H3494" s="465">
        <v>172.25201999999999</v>
      </c>
      <c r="I3494" s="465">
        <v>6.1933800000000003</v>
      </c>
      <c r="J3494" s="465">
        <v>27.009599999999999</v>
      </c>
      <c r="K3494" s="465">
        <v>2468.4526700000001</v>
      </c>
      <c r="L3494" s="464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horné vedenie 2,35m čierna mat</v>
      </c>
      <c r="C3495" s="185">
        <f t="shared" si="109"/>
        <v>25.450099999999999</v>
      </c>
      <c r="D3495" s="409" t="s">
        <v>1408</v>
      </c>
      <c r="E3495" s="409" t="s">
        <v>1852</v>
      </c>
      <c r="F3495" s="409" t="s">
        <v>5864</v>
      </c>
      <c r="G3495" s="409" t="s">
        <v>5865</v>
      </c>
      <c r="H3495" s="465">
        <v>707.82552999999996</v>
      </c>
      <c r="I3495" s="465">
        <v>25.450099999999999</v>
      </c>
      <c r="J3495" s="465">
        <v>103.20359999999999</v>
      </c>
      <c r="K3495" s="465">
        <v>10143.473319999999</v>
      </c>
      <c r="L3495" s="464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horné vedenie  4,05m čierna mat</v>
      </c>
      <c r="C3496" s="185">
        <f t="shared" si="109"/>
        <v>43.848080000000003</v>
      </c>
      <c r="D3496" s="409" t="s">
        <v>1409</v>
      </c>
      <c r="E3496" s="409" t="s">
        <v>1853</v>
      </c>
      <c r="F3496" s="409" t="s">
        <v>5866</v>
      </c>
      <c r="G3496" s="409" t="s">
        <v>5867</v>
      </c>
      <c r="H3496" s="465">
        <v>1219.5153600000001</v>
      </c>
      <c r="I3496" s="465">
        <v>43.848080000000003</v>
      </c>
      <c r="J3496" s="465">
        <v>177.9186</v>
      </c>
      <c r="K3496" s="465">
        <v>17476.229630000002</v>
      </c>
      <c r="L3496" s="464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spodné vedenie 4,05m čierna mat</v>
      </c>
      <c r="C3497" s="185">
        <f t="shared" si="109"/>
        <v>25.658280000000001</v>
      </c>
      <c r="D3497" s="409" t="s">
        <v>1410</v>
      </c>
      <c r="E3497" s="409" t="s">
        <v>1854</v>
      </c>
      <c r="F3497" s="409" t="s">
        <v>5868</v>
      </c>
      <c r="G3497" s="409" t="s">
        <v>5869</v>
      </c>
      <c r="H3497" s="465">
        <v>713.61551999999995</v>
      </c>
      <c r="I3497" s="465">
        <v>25.658280000000001</v>
      </c>
      <c r="J3497" s="465">
        <v>96.930599999999998</v>
      </c>
      <c r="K3497" s="465">
        <v>10226.44657</v>
      </c>
      <c r="L3497" s="464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spodné vedenie 2,35m čierna mat</v>
      </c>
      <c r="C3498" s="185">
        <f t="shared" si="109"/>
        <v>14.91095</v>
      </c>
      <c r="D3498" s="409" t="s">
        <v>1411</v>
      </c>
      <c r="E3498" s="409" t="s">
        <v>1855</v>
      </c>
      <c r="F3498" s="409" t="s">
        <v>5870</v>
      </c>
      <c r="G3498" s="409" t="s">
        <v>5871</v>
      </c>
      <c r="H3498" s="465">
        <v>414.70758000000001</v>
      </c>
      <c r="I3498" s="465">
        <v>14.91095</v>
      </c>
      <c r="J3498" s="465">
        <v>56.242800000000003</v>
      </c>
      <c r="K3498" s="465">
        <v>5942.9550600000002</v>
      </c>
      <c r="L3498" s="464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maska Elegant II 2,35m čierna mat</v>
      </c>
      <c r="C3499" s="185">
        <f t="shared" si="109"/>
        <v>4.6059999999999999</v>
      </c>
      <c r="D3499" s="409" t="s">
        <v>1412</v>
      </c>
      <c r="E3499" s="409" t="s">
        <v>1856</v>
      </c>
      <c r="F3499" s="409" t="s">
        <v>5872</v>
      </c>
      <c r="G3499" s="409" t="s">
        <v>5873</v>
      </c>
      <c r="H3499" s="465">
        <v>128.10339999999999</v>
      </c>
      <c r="I3499" s="465">
        <v>4.6059999999999999</v>
      </c>
      <c r="J3499" s="465">
        <v>16.870799999999999</v>
      </c>
      <c r="K3499" s="465">
        <v>1835.78208</v>
      </c>
      <c r="L3499" s="464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maska Elegant II 4,05m čierna mat</v>
      </c>
      <c r="C3500" s="185">
        <f t="shared" si="109"/>
        <v>7.93689</v>
      </c>
      <c r="D3500" s="409" t="s">
        <v>1413</v>
      </c>
      <c r="E3500" s="409" t="s">
        <v>1857</v>
      </c>
      <c r="F3500" s="409" t="s">
        <v>5874</v>
      </c>
      <c r="G3500" s="409" t="s">
        <v>5875</v>
      </c>
      <c r="H3500" s="465">
        <v>220.74315000000001</v>
      </c>
      <c r="I3500" s="465">
        <v>7.93689</v>
      </c>
      <c r="J3500" s="465">
        <v>29.07</v>
      </c>
      <c r="K3500" s="465">
        <v>3163.3533000000002</v>
      </c>
      <c r="L3500" s="464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uholník Mini 17x11mm 2,35m čierna mat</v>
      </c>
      <c r="C3501" s="185">
        <f t="shared" si="109"/>
        <v>4.3978200000000003</v>
      </c>
      <c r="D3501" s="409" t="s">
        <v>5876</v>
      </c>
      <c r="E3501" s="409" t="s">
        <v>5877</v>
      </c>
      <c r="F3501" s="409" t="s">
        <v>5878</v>
      </c>
      <c r="G3501" s="409" t="s">
        <v>5879</v>
      </c>
      <c r="H3501" s="465">
        <v>122.31341</v>
      </c>
      <c r="I3501" s="465">
        <v>4.3978200000000003</v>
      </c>
      <c r="J3501" s="465">
        <v>16.901399999999999</v>
      </c>
      <c r="K3501" s="465">
        <v>1752.8088</v>
      </c>
      <c r="L3501" s="464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spojovacia lišta H18 3m čierna mat</v>
      </c>
      <c r="C3502" s="185">
        <f t="shared" si="109"/>
        <v>15.587540000000001</v>
      </c>
      <c r="D3502" s="409" t="s">
        <v>1414</v>
      </c>
      <c r="E3502" s="409" t="s">
        <v>1858</v>
      </c>
      <c r="F3502" s="409" t="s">
        <v>5880</v>
      </c>
      <c r="G3502" s="409" t="s">
        <v>2405</v>
      </c>
      <c r="H3502" s="465">
        <v>433.52503999999999</v>
      </c>
      <c r="I3502" s="465">
        <v>15.587540000000001</v>
      </c>
      <c r="J3502" s="465">
        <v>62.464799999999997</v>
      </c>
      <c r="K3502" s="465">
        <v>6212.6180999999997</v>
      </c>
      <c r="L3502" s="464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dorazová štetina zásuvná 14x4mm čierna</v>
      </c>
      <c r="C3503" s="185">
        <f t="shared" si="109"/>
        <v>0.39034000000000002</v>
      </c>
      <c r="D3503" s="409" t="s">
        <v>1415</v>
      </c>
      <c r="E3503" s="409" t="s">
        <v>1859</v>
      </c>
      <c r="F3503" s="409" t="s">
        <v>5881</v>
      </c>
      <c r="G3503" s="409" t="s">
        <v>5882</v>
      </c>
      <c r="H3503" s="465">
        <v>11.520099999999999</v>
      </c>
      <c r="I3503" s="465">
        <v>0.39034000000000002</v>
      </c>
      <c r="J3503" s="465">
        <v>1.43</v>
      </c>
      <c r="K3503" s="465">
        <v>155.07764</v>
      </c>
      <c r="L3503" s="464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dorazová štetina zásuvná 4,8x4mm čierna</v>
      </c>
      <c r="C3504" s="185">
        <f t="shared" si="109"/>
        <v>0.15629999999999999</v>
      </c>
      <c r="D3504" s="409" t="s">
        <v>1416</v>
      </c>
      <c r="E3504" s="409" t="s">
        <v>1860</v>
      </c>
      <c r="F3504" s="409" t="s">
        <v>5883</v>
      </c>
      <c r="G3504" s="409" t="s">
        <v>5884</v>
      </c>
      <c r="H3504" s="465">
        <v>4.6080500000000004</v>
      </c>
      <c r="I3504" s="465">
        <v>0.15629999999999999</v>
      </c>
      <c r="J3504" s="465">
        <v>0.59360000000000002</v>
      </c>
      <c r="K3504" s="465">
        <v>63.993670000000002</v>
      </c>
      <c r="L3504" s="464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uholník Mini 17x11mm 3m čierna mat</v>
      </c>
      <c r="C3505" s="185">
        <f t="shared" si="109"/>
        <v>5.6208799999999997</v>
      </c>
      <c r="D3505" s="409" t="s">
        <v>6046</v>
      </c>
      <c r="E3505" s="409" t="s">
        <v>6047</v>
      </c>
      <c r="F3505" s="409" t="s">
        <v>6048</v>
      </c>
      <c r="G3505" s="409" t="s">
        <v>6049</v>
      </c>
      <c r="H3505" s="465">
        <v>156.32956999999999</v>
      </c>
      <c r="I3505" s="465">
        <v>5.6208799999999997</v>
      </c>
      <c r="J3505" s="465">
        <v>21.583200000000001</v>
      </c>
      <c r="K3505" s="465">
        <v>2240.27646</v>
      </c>
      <c r="L3505" s="464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horné vedenie 3m čierna mat</v>
      </c>
      <c r="C3506" s="185">
        <f t="shared" si="109"/>
        <v>32.476199999999999</v>
      </c>
      <c r="D3506" s="409" t="s">
        <v>1541</v>
      </c>
      <c r="E3506" s="409" t="s">
        <v>1969</v>
      </c>
      <c r="F3506" s="409" t="s">
        <v>6050</v>
      </c>
      <c r="G3506" s="409" t="s">
        <v>6051</v>
      </c>
      <c r="H3506" s="465">
        <v>903.23748000000001</v>
      </c>
      <c r="I3506" s="465">
        <v>32.476199999999999</v>
      </c>
      <c r="J3506" s="465">
        <v>131.79419999999999</v>
      </c>
      <c r="K3506" s="465">
        <v>12943.81868</v>
      </c>
      <c r="L3506" s="464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spodné vedenie 3m čierna mat</v>
      </c>
      <c r="C3507" s="185">
        <f t="shared" si="109"/>
        <v>18.94445</v>
      </c>
      <c r="D3507" s="409" t="s">
        <v>1542</v>
      </c>
      <c r="E3507" s="409" t="s">
        <v>1970</v>
      </c>
      <c r="F3507" s="409" t="s">
        <v>6052</v>
      </c>
      <c r="G3507" s="409" t="s">
        <v>6053</v>
      </c>
      <c r="H3507" s="465">
        <v>526.88854000000003</v>
      </c>
      <c r="I3507" s="465">
        <v>18.94445</v>
      </c>
      <c r="J3507" s="465">
        <v>71.808000000000007</v>
      </c>
      <c r="K3507" s="465">
        <v>7550.5609299999996</v>
      </c>
      <c r="L3507" s="464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/>
      </c>
      <c r="C3508" s="185">
        <f t="shared" si="109"/>
        <v>0</v>
      </c>
      <c r="D3508" s="409" t="s">
        <v>1364</v>
      </c>
      <c r="E3508" s="409" t="s">
        <v>1814</v>
      </c>
      <c r="F3508" s="409" t="s">
        <v>68</v>
      </c>
      <c r="G3508" s="409" t="s">
        <v>5834</v>
      </c>
      <c r="H3508" s="465">
        <v>0.28789999999999999</v>
      </c>
      <c r="I3508" s="465">
        <v>0</v>
      </c>
      <c r="J3508" s="465">
        <v>5.6100000000000004E-3</v>
      </c>
      <c r="K3508" s="465">
        <v>0</v>
      </c>
      <c r="L3508" s="464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/>
      </c>
      <c r="C3509" s="185">
        <f t="shared" si="109"/>
        <v>8.7144200000000005</v>
      </c>
      <c r="D3509" s="409" t="s">
        <v>1365</v>
      </c>
      <c r="E3509" s="409" t="s">
        <v>1814</v>
      </c>
      <c r="F3509" s="409" t="s">
        <v>68</v>
      </c>
      <c r="G3509" s="409" t="s">
        <v>5835</v>
      </c>
      <c r="H3509" s="465">
        <v>0</v>
      </c>
      <c r="I3509" s="465">
        <v>8.7144200000000005</v>
      </c>
      <c r="J3509" s="465">
        <v>5.6100000000000004E-3</v>
      </c>
      <c r="K3509" s="465">
        <v>3737.4312599999998</v>
      </c>
      <c r="L3509" s="464" t="s">
        <v>541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maska Elegant II 3m čierna mat</v>
      </c>
      <c r="C3510" s="185">
        <f t="shared" si="109"/>
        <v>5.8811099999999996</v>
      </c>
      <c r="D3510" s="409" t="s">
        <v>1366</v>
      </c>
      <c r="E3510" s="409" t="s">
        <v>1815</v>
      </c>
      <c r="F3510" s="409" t="s">
        <v>5836</v>
      </c>
      <c r="G3510" s="409" t="s">
        <v>5837</v>
      </c>
      <c r="H3510" s="465">
        <v>163.56704999999999</v>
      </c>
      <c r="I3510" s="465">
        <v>5.8811099999999996</v>
      </c>
      <c r="J3510" s="465">
        <v>21.542400000000001</v>
      </c>
      <c r="K3510" s="465">
        <v>2343.9929499999998</v>
      </c>
      <c r="L3510" s="464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str">
        <f t="shared" si="108"/>
        <v>SEVROLL Harmony sada kovania pre dvoje dvere</v>
      </c>
      <c r="C3511" s="185" t="e">
        <f t="shared" si="109"/>
        <v>#N/A</v>
      </c>
      <c r="D3511" s="409" t="s">
        <v>1360</v>
      </c>
      <c r="E3511" s="409" t="s">
        <v>1812</v>
      </c>
      <c r="F3511" s="409" t="s">
        <v>2160</v>
      </c>
      <c r="G3511" s="409" t="s">
        <v>2377</v>
      </c>
      <c r="H3511" s="465" t="e">
        <v>#N/A</v>
      </c>
      <c r="I3511" s="465" t="e">
        <v>#N/A</v>
      </c>
      <c r="J3511" s="465" t="e">
        <v>#N/A</v>
      </c>
      <c r="K3511" s="465" t="e">
        <v>#N/A</v>
      </c>
      <c r="L3511" s="464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spod.ved. 150mm biela mat</v>
      </c>
      <c r="C3512" s="185">
        <f t="shared" si="109"/>
        <v>0</v>
      </c>
      <c r="D3512" s="409" t="s">
        <v>1281</v>
      </c>
      <c r="E3512" s="409" t="s">
        <v>1733</v>
      </c>
      <c r="F3512" s="409" t="s">
        <v>2148</v>
      </c>
      <c r="G3512" s="409" t="s">
        <v>2316</v>
      </c>
      <c r="H3512" s="465">
        <v>0</v>
      </c>
      <c r="I3512" s="465">
        <v>0</v>
      </c>
      <c r="J3512" s="465">
        <v>0</v>
      </c>
      <c r="K3512" s="465">
        <v>0</v>
      </c>
      <c r="L3512" s="464" t="s">
        <v>539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spodné vedenie 150mm čierna lesk (vzorka)</v>
      </c>
      <c r="C3513" s="185">
        <f t="shared" si="109"/>
        <v>0</v>
      </c>
      <c r="D3513" s="409" t="s">
        <v>1282</v>
      </c>
      <c r="E3513" s="409" t="s">
        <v>1734</v>
      </c>
      <c r="F3513" s="409" t="s">
        <v>5742</v>
      </c>
      <c r="G3513" s="409" t="s">
        <v>2317</v>
      </c>
      <c r="H3513" s="465">
        <v>0</v>
      </c>
      <c r="I3513" s="465">
        <v>0</v>
      </c>
      <c r="J3513" s="465">
        <v>0</v>
      </c>
      <c r="K3513" s="465">
        <v>0</v>
      </c>
      <c r="L3513" s="464" t="s">
        <v>539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horné vedenie 1,7m čierna mat</v>
      </c>
      <c r="C3514" s="185">
        <f t="shared" si="109"/>
        <v>18.39798</v>
      </c>
      <c r="D3514" s="409" t="s">
        <v>1284</v>
      </c>
      <c r="E3514" s="409" t="s">
        <v>1736</v>
      </c>
      <c r="F3514" s="409" t="s">
        <v>5745</v>
      </c>
      <c r="G3514" s="409" t="s">
        <v>5746</v>
      </c>
      <c r="H3514" s="465">
        <v>511.68982999999997</v>
      </c>
      <c r="I3514" s="465">
        <v>18.39798</v>
      </c>
      <c r="J3514" s="465">
        <v>74.653800000000004</v>
      </c>
      <c r="K3514" s="465">
        <v>7332.7563300000002</v>
      </c>
      <c r="L3514" s="464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20406 Pax nalepovacia úchytka čierna mat</v>
      </c>
      <c r="C3515" s="185">
        <f t="shared" si="109"/>
        <v>9.5242699999999996</v>
      </c>
      <c r="D3515" s="409" t="s">
        <v>1285</v>
      </c>
      <c r="E3515" s="409" t="s">
        <v>1737</v>
      </c>
      <c r="F3515" s="409" t="s">
        <v>5747</v>
      </c>
      <c r="G3515" s="409" t="s">
        <v>2318</v>
      </c>
      <c r="H3515" s="465">
        <v>264.89177000000001</v>
      </c>
      <c r="I3515" s="465">
        <v>9.5242699999999996</v>
      </c>
      <c r="J3515" s="465">
        <v>32.751550000000002</v>
      </c>
      <c r="K3515" s="465">
        <v>3796.02387</v>
      </c>
      <c r="L3515" s="464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záslepka profilu (4 ks) čierna mat</v>
      </c>
      <c r="C3516" s="185">
        <f t="shared" si="109"/>
        <v>9.0558599999999991</v>
      </c>
      <c r="D3516" s="409" t="s">
        <v>1286</v>
      </c>
      <c r="E3516" s="409" t="s">
        <v>1738</v>
      </c>
      <c r="F3516" s="409" t="s">
        <v>5748</v>
      </c>
      <c r="G3516" s="409" t="s">
        <v>2319</v>
      </c>
      <c r="H3516" s="465">
        <v>267.26607999999999</v>
      </c>
      <c r="I3516" s="465">
        <v>9.0558599999999991</v>
      </c>
      <c r="J3516" s="465">
        <v>34.68</v>
      </c>
      <c r="K3516" s="465">
        <v>3711.62293</v>
      </c>
      <c r="L3516" s="464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profil "U" pro lamino 18mm 3m čierna mat</v>
      </c>
      <c r="C3517" s="185">
        <f t="shared" si="109"/>
        <v>6.1933800000000003</v>
      </c>
      <c r="D3517" s="409" t="s">
        <v>1287</v>
      </c>
      <c r="E3517" s="409" t="s">
        <v>1739</v>
      </c>
      <c r="F3517" s="409" t="s">
        <v>2149</v>
      </c>
      <c r="G3517" s="409" t="s">
        <v>2320</v>
      </c>
      <c r="H3517" s="465">
        <v>172.25201999999999</v>
      </c>
      <c r="I3517" s="465">
        <v>6.1933800000000003</v>
      </c>
      <c r="J3517" s="465">
        <v>27.009599999999999</v>
      </c>
      <c r="K3517" s="465">
        <v>2468.4526700000001</v>
      </c>
      <c r="L3517" s="464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uholník Mini 17x11mm 1,7m čierna mat</v>
      </c>
      <c r="C3518" s="185">
        <f t="shared" si="109"/>
        <v>3.17476</v>
      </c>
      <c r="D3518" s="409" t="s">
        <v>5749</v>
      </c>
      <c r="E3518" s="409" t="s">
        <v>5750</v>
      </c>
      <c r="F3518" s="409" t="s">
        <v>5751</v>
      </c>
      <c r="G3518" s="409" t="s">
        <v>5752</v>
      </c>
      <c r="H3518" s="465">
        <v>88.297250000000005</v>
      </c>
      <c r="I3518" s="465">
        <v>3.17476</v>
      </c>
      <c r="J3518" s="465">
        <v>12.2094</v>
      </c>
      <c r="K3518" s="465">
        <v>1265.3411599999999</v>
      </c>
      <c r="L3518" s="464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spodná krycia lišta 1,7m 10mm čierna mat</v>
      </c>
      <c r="C3519" s="185">
        <f t="shared" si="109"/>
        <v>19.048539999999999</v>
      </c>
      <c r="D3519" s="409" t="s">
        <v>3446</v>
      </c>
      <c r="E3519" s="409" t="s">
        <v>1740</v>
      </c>
      <c r="F3519" s="409" t="s">
        <v>5753</v>
      </c>
      <c r="G3519" s="409" t="s">
        <v>2321</v>
      </c>
      <c r="H3519" s="465">
        <v>529.78351999999995</v>
      </c>
      <c r="I3519" s="465">
        <v>19.048539999999999</v>
      </c>
      <c r="J3519" s="465">
        <v>70.369799999999998</v>
      </c>
      <c r="K3519" s="465">
        <v>7592.0473700000002</v>
      </c>
      <c r="L3519" s="464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spodná krycia lišta 2,35m 10mm čierna mat</v>
      </c>
      <c r="C3520" s="185">
        <f t="shared" si="109"/>
        <v>26.30885</v>
      </c>
      <c r="D3520" s="409" t="s">
        <v>3447</v>
      </c>
      <c r="E3520" s="409" t="s">
        <v>1741</v>
      </c>
      <c r="F3520" s="409" t="s">
        <v>5754</v>
      </c>
      <c r="G3520" s="409" t="s">
        <v>2322</v>
      </c>
      <c r="H3520" s="465">
        <v>731.70920999999998</v>
      </c>
      <c r="I3520" s="465">
        <v>26.30885</v>
      </c>
      <c r="J3520" s="465">
        <v>97.287599999999998</v>
      </c>
      <c r="K3520" s="465">
        <v>10485.73761</v>
      </c>
      <c r="L3520" s="464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spodná krycia lišta 3m 10mm čierna mat</v>
      </c>
      <c r="C3521" s="185">
        <f t="shared" si="109"/>
        <v>33.67324</v>
      </c>
      <c r="D3521" s="409" t="s">
        <v>3448</v>
      </c>
      <c r="E3521" s="409" t="s">
        <v>1742</v>
      </c>
      <c r="F3521" s="409" t="s">
        <v>5755</v>
      </c>
      <c r="G3521" s="409" t="s">
        <v>2323</v>
      </c>
      <c r="H3521" s="465">
        <v>936.52988000000005</v>
      </c>
      <c r="I3521" s="465">
        <v>33.67324</v>
      </c>
      <c r="J3521" s="465">
        <v>124.22580000000001</v>
      </c>
      <c r="K3521" s="465">
        <v>13420.91432</v>
      </c>
      <c r="L3521" s="464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spodná krycia lišta 3m 4mm čierna mat</v>
      </c>
      <c r="C3522" s="185">
        <f t="shared" si="109"/>
        <v>33.82938</v>
      </c>
      <c r="D3522" s="409" t="s">
        <v>3449</v>
      </c>
      <c r="E3522" s="409" t="s">
        <v>1743</v>
      </c>
      <c r="F3522" s="409" t="s">
        <v>5756</v>
      </c>
      <c r="G3522" s="409" t="s">
        <v>2324</v>
      </c>
      <c r="H3522" s="465">
        <v>940.87237000000005</v>
      </c>
      <c r="I3522" s="465">
        <v>33.82938</v>
      </c>
      <c r="J3522" s="465">
        <v>129.11160000000001</v>
      </c>
      <c r="K3522" s="465">
        <v>13483.14436</v>
      </c>
      <c r="L3522" s="464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spodná krycia lišta 3m 4mm biela lesk</v>
      </c>
      <c r="C3523" s="185">
        <f t="shared" si="109"/>
        <v>37.810839999999999</v>
      </c>
      <c r="D3523" s="409" t="s">
        <v>3450</v>
      </c>
      <c r="E3523" s="409" t="s">
        <v>1744</v>
      </c>
      <c r="F3523" s="409" t="s">
        <v>3560</v>
      </c>
      <c r="G3523" s="409" t="s">
        <v>2325</v>
      </c>
      <c r="H3523" s="465">
        <v>1051.60581</v>
      </c>
      <c r="I3523" s="465">
        <v>37.810839999999999</v>
      </c>
      <c r="J3523" s="465">
        <v>145.11539999999999</v>
      </c>
      <c r="K3523" s="465">
        <v>15070.00663</v>
      </c>
      <c r="L3523" s="464" t="s">
        <v>539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spodná krycia lišta 3m 4mm čierna mat</v>
      </c>
      <c r="C3524" s="185">
        <f t="shared" ref="C3524:C3587" si="111">IF($A$2=1,H3524,IF($A$2=2,I3524,IF($A$2=3,J3524,IF($A$2=4,K3524,IF($A$2&gt;4,O3524,"zadat jazyk")))))</f>
        <v>37.810839999999999</v>
      </c>
      <c r="D3524" s="409" t="s">
        <v>3451</v>
      </c>
      <c r="E3524" s="409" t="s">
        <v>1745</v>
      </c>
      <c r="F3524" s="409" t="s">
        <v>5757</v>
      </c>
      <c r="G3524" s="409" t="s">
        <v>2326</v>
      </c>
      <c r="H3524" s="465">
        <v>1051.60581</v>
      </c>
      <c r="I3524" s="465">
        <v>37.810839999999999</v>
      </c>
      <c r="J3524" s="465">
        <v>145.11539999999999</v>
      </c>
      <c r="K3524" s="465">
        <v>15070.00663</v>
      </c>
      <c r="L3524" s="464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horná vodiaca lišta 1,7m čierna mat</v>
      </c>
      <c r="C3525" s="185">
        <f t="shared" si="111"/>
        <v>10.487109999999999</v>
      </c>
      <c r="D3525" s="409" t="s">
        <v>1293</v>
      </c>
      <c r="E3525" s="409" t="s">
        <v>1746</v>
      </c>
      <c r="F3525" s="409" t="s">
        <v>5758</v>
      </c>
      <c r="G3525" s="409" t="s">
        <v>2327</v>
      </c>
      <c r="H3525" s="465">
        <v>291.67043000000001</v>
      </c>
      <c r="I3525" s="465">
        <v>10.487109999999999</v>
      </c>
      <c r="J3525" s="465">
        <v>59.986199999999997</v>
      </c>
      <c r="K3525" s="465">
        <v>4179.7746299999999</v>
      </c>
      <c r="L3525" s="464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úchytová lišta 2,7m čierna mat</v>
      </c>
      <c r="C3526" s="185">
        <f t="shared" si="111"/>
        <v>21.598759999999999</v>
      </c>
      <c r="D3526" s="409" t="s">
        <v>1505</v>
      </c>
      <c r="E3526" s="409" t="s">
        <v>1932</v>
      </c>
      <c r="F3526" s="409" t="s">
        <v>6007</v>
      </c>
      <c r="G3526" s="409" t="s">
        <v>2452</v>
      </c>
      <c r="H3526" s="465">
        <v>600.71082000000001</v>
      </c>
      <c r="I3526" s="465">
        <v>21.598759999999999</v>
      </c>
      <c r="J3526" s="465">
        <v>80.416799999999995</v>
      </c>
      <c r="K3526" s="465">
        <v>8608.4691000000003</v>
      </c>
      <c r="L3526" s="464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úchytová lišta 2,7m čierna mat</v>
      </c>
      <c r="C3527" s="185">
        <f t="shared" si="111"/>
        <v>16.368220000000001</v>
      </c>
      <c r="D3527" s="409" t="s">
        <v>1347</v>
      </c>
      <c r="E3527" s="409" t="s">
        <v>1799</v>
      </c>
      <c r="F3527" s="409" t="s">
        <v>5812</v>
      </c>
      <c r="G3527" s="409" t="s">
        <v>5813</v>
      </c>
      <c r="H3527" s="465">
        <v>455.23748000000001</v>
      </c>
      <c r="I3527" s="465">
        <v>16.368220000000001</v>
      </c>
      <c r="J3527" s="465">
        <v>60.088200000000001</v>
      </c>
      <c r="K3527" s="465">
        <v>6523.7675799999997</v>
      </c>
      <c r="L3527" s="464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spojovacia lišta H30 decor 3m čierna mat</v>
      </c>
      <c r="C3528" s="185">
        <f t="shared" si="111"/>
        <v>29.27543</v>
      </c>
      <c r="D3528" s="409" t="s">
        <v>1348</v>
      </c>
      <c r="E3528" s="409" t="s">
        <v>1800</v>
      </c>
      <c r="F3528" s="409" t="s">
        <v>5814</v>
      </c>
      <c r="G3528" s="409" t="s">
        <v>2369</v>
      </c>
      <c r="H3528" s="465">
        <v>814.21649000000002</v>
      </c>
      <c r="I3528" s="465">
        <v>29.27543</v>
      </c>
      <c r="J3528" s="465">
        <v>102.1734</v>
      </c>
      <c r="K3528" s="465">
        <v>11668.10591</v>
      </c>
      <c r="L3528" s="464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dištančný profil 04 3m čierna mat</v>
      </c>
      <c r="C3529" s="185">
        <f t="shared" si="111"/>
        <v>4.6580500000000002</v>
      </c>
      <c r="D3529" s="409" t="s">
        <v>1349</v>
      </c>
      <c r="E3529" s="409" t="s">
        <v>1801</v>
      </c>
      <c r="F3529" s="409" t="s">
        <v>5815</v>
      </c>
      <c r="G3529" s="409" t="s">
        <v>5816</v>
      </c>
      <c r="H3529" s="465">
        <v>129.55089000000001</v>
      </c>
      <c r="I3529" s="465">
        <v>4.6580500000000002</v>
      </c>
      <c r="J3529" s="465">
        <v>16.289400000000001</v>
      </c>
      <c r="K3529" s="465">
        <v>1856.52531</v>
      </c>
      <c r="L3529" s="464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horná vodiaca lišta 2,35m čierna mat</v>
      </c>
      <c r="C3530" s="185">
        <f t="shared" si="111"/>
        <v>14.52061</v>
      </c>
      <c r="D3530" s="409" t="s">
        <v>1350</v>
      </c>
      <c r="E3530" s="409" t="s">
        <v>1802</v>
      </c>
      <c r="F3530" s="409" t="s">
        <v>5817</v>
      </c>
      <c r="G3530" s="409" t="s">
        <v>2370</v>
      </c>
      <c r="H3530" s="465">
        <v>403.85138000000001</v>
      </c>
      <c r="I3530" s="465">
        <v>14.52061</v>
      </c>
      <c r="J3530" s="465">
        <v>82.936199999999999</v>
      </c>
      <c r="K3530" s="465">
        <v>5787.3805000000002</v>
      </c>
      <c r="L3530" s="464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horná vodiaca lišta 3m čierna mat</v>
      </c>
      <c r="C3531" s="185">
        <f t="shared" si="111"/>
        <v>18.528089999999999</v>
      </c>
      <c r="D3531" s="409" t="s">
        <v>1351</v>
      </c>
      <c r="E3531" s="409" t="s">
        <v>1803</v>
      </c>
      <c r="F3531" s="409" t="s">
        <v>5818</v>
      </c>
      <c r="G3531" s="409" t="s">
        <v>2371</v>
      </c>
      <c r="H3531" s="465">
        <v>515.30856000000006</v>
      </c>
      <c r="I3531" s="465">
        <v>18.528089999999999</v>
      </c>
      <c r="J3531" s="465">
        <v>105.8454</v>
      </c>
      <c r="K3531" s="465">
        <v>7384.61438</v>
      </c>
      <c r="L3531" s="464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horná vodiaca lišta 3m čierna mat</v>
      </c>
      <c r="C3532" s="185">
        <f t="shared" si="111"/>
        <v>29.353490000000001</v>
      </c>
      <c r="D3532" s="409" t="s">
        <v>1352</v>
      </c>
      <c r="E3532" s="409" t="s">
        <v>1804</v>
      </c>
      <c r="F3532" s="409" t="s">
        <v>5819</v>
      </c>
      <c r="G3532" s="409" t="s">
        <v>2372</v>
      </c>
      <c r="H3532" s="465">
        <v>816.38773000000003</v>
      </c>
      <c r="I3532" s="465">
        <v>29.353490000000001</v>
      </c>
      <c r="J3532" s="465">
        <v>112.2</v>
      </c>
      <c r="K3532" s="465">
        <v>11699.220729999999</v>
      </c>
      <c r="L3532" s="464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horné vedenie 6m čierna mat</v>
      </c>
      <c r="C3533" s="185">
        <f t="shared" si="111"/>
        <v>64.95241</v>
      </c>
      <c r="D3533" s="409" t="s">
        <v>1353</v>
      </c>
      <c r="E3533" s="409" t="s">
        <v>1805</v>
      </c>
      <c r="F3533" s="409" t="s">
        <v>5820</v>
      </c>
      <c r="G3533" s="409" t="s">
        <v>5821</v>
      </c>
      <c r="H3533" s="465">
        <v>1806.47497</v>
      </c>
      <c r="I3533" s="465">
        <v>64.95241</v>
      </c>
      <c r="J3533" s="465">
        <v>263.56799999999998</v>
      </c>
      <c r="K3533" s="465">
        <v>25887.637350000001</v>
      </c>
      <c r="L3533" s="464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spodné vedenie 6m čierna mat</v>
      </c>
      <c r="C3534" s="185">
        <f t="shared" si="111"/>
        <v>37.914929999999998</v>
      </c>
      <c r="D3534" s="409" t="s">
        <v>1354</v>
      </c>
      <c r="E3534" s="409" t="s">
        <v>1806</v>
      </c>
      <c r="F3534" s="409" t="s">
        <v>5822</v>
      </c>
      <c r="G3534" s="409" t="s">
        <v>5823</v>
      </c>
      <c r="H3534" s="465">
        <v>1054.50082</v>
      </c>
      <c r="I3534" s="465">
        <v>37.914929999999998</v>
      </c>
      <c r="J3534" s="465">
        <v>143.60579999999999</v>
      </c>
      <c r="K3534" s="465">
        <v>15111.493469999999</v>
      </c>
      <c r="L3534" s="464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maska Elegant II 1,7m čierna mat</v>
      </c>
      <c r="C3535" s="185">
        <f t="shared" si="111"/>
        <v>3.3308900000000001</v>
      </c>
      <c r="D3535" s="409" t="s">
        <v>1355</v>
      </c>
      <c r="E3535" s="409" t="s">
        <v>1807</v>
      </c>
      <c r="F3535" s="409" t="s">
        <v>5824</v>
      </c>
      <c r="G3535" s="409" t="s">
        <v>2373</v>
      </c>
      <c r="H3535" s="465">
        <v>92.639750000000006</v>
      </c>
      <c r="I3535" s="465">
        <v>3.3308900000000001</v>
      </c>
      <c r="J3535" s="465">
        <v>12.199199999999999</v>
      </c>
      <c r="K3535" s="465">
        <v>1327.57123</v>
      </c>
      <c r="L3535" s="464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maska Elegant II 6m čierna mat</v>
      </c>
      <c r="C3536" s="185">
        <f t="shared" si="111"/>
        <v>11.762219999999999</v>
      </c>
      <c r="D3536" s="409" t="s">
        <v>1356</v>
      </c>
      <c r="E3536" s="409" t="s">
        <v>1808</v>
      </c>
      <c r="F3536" s="409" t="s">
        <v>5825</v>
      </c>
      <c r="G3536" s="409" t="s">
        <v>5826</v>
      </c>
      <c r="H3536" s="465">
        <v>327.13407999999998</v>
      </c>
      <c r="I3536" s="465">
        <v>11.762219999999999</v>
      </c>
      <c r="J3536" s="465">
        <v>43.084800000000001</v>
      </c>
      <c r="K3536" s="465">
        <v>4687.9854999999998</v>
      </c>
      <c r="L3536" s="464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spojovacia lišta H10 3m čierna mat</v>
      </c>
      <c r="C3537" s="185">
        <f t="shared" si="111"/>
        <v>15.82174</v>
      </c>
      <c r="D3537" s="409" t="s">
        <v>1357</v>
      </c>
      <c r="E3537" s="409" t="s">
        <v>1809</v>
      </c>
      <c r="F3537" s="409" t="s">
        <v>5827</v>
      </c>
      <c r="G3537" s="409" t="s">
        <v>2374</v>
      </c>
      <c r="H3537" s="465">
        <v>440.03877999999997</v>
      </c>
      <c r="I3537" s="465">
        <v>15.82174</v>
      </c>
      <c r="J3537" s="465">
        <v>67.289400000000001</v>
      </c>
      <c r="K3537" s="465">
        <v>6305.9629800000002</v>
      </c>
      <c r="L3537" s="464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úchytová lišta 2,7m čierna mat</v>
      </c>
      <c r="C3538" s="185">
        <f t="shared" si="111"/>
        <v>26.90737</v>
      </c>
      <c r="D3538" s="409" t="s">
        <v>1312</v>
      </c>
      <c r="E3538" s="409" t="s">
        <v>1765</v>
      </c>
      <c r="F3538" s="409" t="s">
        <v>5774</v>
      </c>
      <c r="G3538" s="409" t="s">
        <v>2345</v>
      </c>
      <c r="H3538" s="465">
        <v>748.35540000000003</v>
      </c>
      <c r="I3538" s="465">
        <v>26.90737</v>
      </c>
      <c r="J3538" s="465">
        <v>102.67319999999999</v>
      </c>
      <c r="K3538" s="465">
        <v>10724.285449999999</v>
      </c>
      <c r="L3538" s="464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úchytová lišta 3m čierna mat</v>
      </c>
      <c r="C3539" s="185">
        <f t="shared" si="111"/>
        <v>29.89997</v>
      </c>
      <c r="D3539" s="409" t="s">
        <v>1313</v>
      </c>
      <c r="E3539" s="409" t="s">
        <v>1766</v>
      </c>
      <c r="F3539" s="409" t="s">
        <v>5775</v>
      </c>
      <c r="G3539" s="409" t="s">
        <v>2346</v>
      </c>
      <c r="H3539" s="465">
        <v>831.58642999999995</v>
      </c>
      <c r="I3539" s="465">
        <v>29.89997</v>
      </c>
      <c r="J3539" s="465">
        <v>114.07680000000001</v>
      </c>
      <c r="K3539" s="465">
        <v>11917.02533</v>
      </c>
      <c r="L3539" s="464" t="s">
        <v>539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str">
        <f t="shared" si="110"/>
        <v>SEVROLL 04511-M Era úchytová lišta 18mm 2,70m oliva new</v>
      </c>
      <c r="C3540" s="185" t="e">
        <f t="shared" si="111"/>
        <v>#N/A</v>
      </c>
      <c r="D3540" s="409" t="s">
        <v>1444</v>
      </c>
      <c r="E3540" s="409" t="s">
        <v>5917</v>
      </c>
      <c r="F3540" s="409" t="s">
        <v>1444</v>
      </c>
      <c r="G3540" s="409" t="s">
        <v>5918</v>
      </c>
      <c r="H3540" s="465" t="e">
        <v>#N/A</v>
      </c>
      <c r="I3540" s="465" t="e">
        <v>#N/A</v>
      </c>
      <c r="J3540" s="465" t="e">
        <v>#N/A</v>
      </c>
      <c r="K3540" s="465" t="e">
        <v>#N/A</v>
      </c>
      <c r="L3540" s="464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str">
        <f t="shared" si="110"/>
        <v>SEVROLL 04470-M Blue horné vedenie  6m oliva new</v>
      </c>
      <c r="C3541" s="185" t="e">
        <f t="shared" si="111"/>
        <v>#N/A</v>
      </c>
      <c r="D3541" s="409" t="s">
        <v>1445</v>
      </c>
      <c r="E3541" s="409" t="s">
        <v>5919</v>
      </c>
      <c r="F3541" s="409" t="s">
        <v>5920</v>
      </c>
      <c r="G3541" s="409" t="s">
        <v>5921</v>
      </c>
      <c r="H3541" s="465" t="e">
        <v>#N/A</v>
      </c>
      <c r="I3541" s="465" t="e">
        <v>#N/A</v>
      </c>
      <c r="J3541" s="465" t="e">
        <v>#N/A</v>
      </c>
      <c r="K3541" s="465" t="e">
        <v>#N/A</v>
      </c>
      <c r="L3541" s="464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str">
        <f t="shared" si="110"/>
        <v>SEVROLL 04494-M Blue-V spodné vedenie  6m oliva new</v>
      </c>
      <c r="C3542" s="185" t="e">
        <f t="shared" si="111"/>
        <v>#N/A</v>
      </c>
      <c r="D3542" s="409" t="s">
        <v>1446</v>
      </c>
      <c r="E3542" s="409" t="s">
        <v>5922</v>
      </c>
      <c r="F3542" s="409" t="s">
        <v>5923</v>
      </c>
      <c r="G3542" s="409" t="s">
        <v>5924</v>
      </c>
      <c r="H3542" s="465" t="e">
        <v>#N/A</v>
      </c>
      <c r="I3542" s="465" t="e">
        <v>#N/A</v>
      </c>
      <c r="J3542" s="465" t="e">
        <v>#N/A</v>
      </c>
      <c r="K3542" s="465" t="e">
        <v>#N/A</v>
      </c>
      <c r="L3542" s="464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str">
        <f t="shared" si="110"/>
        <v>SEVROLL 04459-M horná vodiaca lišta Simple/Blue 3m (lamino 18mm) oliva new</v>
      </c>
      <c r="C3543" s="185" t="e">
        <f t="shared" si="111"/>
        <v>#N/A</v>
      </c>
      <c r="D3543" s="409" t="s">
        <v>1447</v>
      </c>
      <c r="E3543" s="409" t="s">
        <v>5925</v>
      </c>
      <c r="F3543" s="409" t="s">
        <v>5926</v>
      </c>
      <c r="G3543" s="409" t="s">
        <v>5927</v>
      </c>
      <c r="H3543" s="465" t="e">
        <v>#N/A</v>
      </c>
      <c r="I3543" s="465" t="e">
        <v>#N/A</v>
      </c>
      <c r="J3543" s="465" t="e">
        <v>#N/A</v>
      </c>
      <c r="K3543" s="465" t="e">
        <v>#N/A</v>
      </c>
      <c r="L3543" s="464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str">
        <f t="shared" si="110"/>
        <v>SEVROLL 04451-M spodná krycia lišta Simple/Blue 3m (lamino 18mm) oliva new</v>
      </c>
      <c r="C3544" s="185" t="e">
        <f t="shared" si="111"/>
        <v>#N/A</v>
      </c>
      <c r="D3544" s="409" t="s">
        <v>1448</v>
      </c>
      <c r="E3544" s="409" t="s">
        <v>5928</v>
      </c>
      <c r="F3544" s="409" t="s">
        <v>5929</v>
      </c>
      <c r="G3544" s="409" t="s">
        <v>2419</v>
      </c>
      <c r="H3544" s="465" t="e">
        <v>#N/A</v>
      </c>
      <c r="I3544" s="465" t="e">
        <v>#N/A</v>
      </c>
      <c r="J3544" s="465" t="e">
        <v>#N/A</v>
      </c>
      <c r="K3544" s="465" t="e">
        <v>#N/A</v>
      </c>
      <c r="L3544" s="464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vzorky Úchytové lišty 2021 - doplňujúca súprava k 180245</v>
      </c>
      <c r="C3545" s="185">
        <f t="shared" si="111"/>
        <v>2.7719800000000001</v>
      </c>
      <c r="D3545" s="409" t="s">
        <v>1424</v>
      </c>
      <c r="E3545" s="409" t="s">
        <v>1869</v>
      </c>
      <c r="F3545" s="409" t="s">
        <v>2175</v>
      </c>
      <c r="G3545" s="409" t="s">
        <v>68</v>
      </c>
      <c r="H3545" s="465">
        <v>68.506209999999996</v>
      </c>
      <c r="I3545" s="465">
        <v>2.7719800000000001</v>
      </c>
      <c r="J3545" s="465">
        <v>13.07526</v>
      </c>
      <c r="K3545" s="465">
        <v>1147.0222100000001</v>
      </c>
      <c r="L3545" s="464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str">
        <f t="shared" si="110"/>
        <v>SEVROLL 04449-M spodná krycia lišta Simple/Blue 2m (lamino 18mm) oliva new</v>
      </c>
      <c r="C3546" s="185" t="e">
        <f t="shared" si="111"/>
        <v>#N/A</v>
      </c>
      <c r="D3546" s="409" t="s">
        <v>1425</v>
      </c>
      <c r="E3546" s="409" t="s">
        <v>5891</v>
      </c>
      <c r="F3546" s="409" t="s">
        <v>5892</v>
      </c>
      <c r="G3546" s="409" t="s">
        <v>5893</v>
      </c>
      <c r="H3546" s="465" t="e">
        <v>#N/A</v>
      </c>
      <c r="I3546" s="465" t="e">
        <v>#N/A</v>
      </c>
      <c r="J3546" s="465" t="e">
        <v>#N/A</v>
      </c>
      <c r="K3546" s="465" t="e">
        <v>#N/A</v>
      </c>
      <c r="L3546" s="464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/>
      </c>
      <c r="C3547" s="185">
        <f t="shared" si="111"/>
        <v>89.101380000000006</v>
      </c>
      <c r="D3547" s="409" t="s">
        <v>1426</v>
      </c>
      <c r="E3547" s="409" t="s">
        <v>68</v>
      </c>
      <c r="F3547" s="409" t="s">
        <v>68</v>
      </c>
      <c r="G3547" s="409" t="s">
        <v>68</v>
      </c>
      <c r="H3547" s="465">
        <v>2478.1130699999999</v>
      </c>
      <c r="I3547" s="465">
        <v>89.101380000000006</v>
      </c>
      <c r="J3547" s="465">
        <v>352.61268000000001</v>
      </c>
      <c r="K3547" s="465">
        <v>35512.527779999997</v>
      </c>
      <c r="L3547" s="464" t="s">
        <v>539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/>
      </c>
      <c r="C3548" s="185">
        <f t="shared" si="111"/>
        <v>130.76356999999999</v>
      </c>
      <c r="D3548" s="409" t="s">
        <v>1427</v>
      </c>
      <c r="E3548" s="409" t="s">
        <v>68</v>
      </c>
      <c r="F3548" s="409" t="s">
        <v>68</v>
      </c>
      <c r="G3548" s="409" t="s">
        <v>68</v>
      </c>
      <c r="H3548" s="465">
        <v>3636.8336100000001</v>
      </c>
      <c r="I3548" s="465">
        <v>130.76356999999999</v>
      </c>
      <c r="J3548" s="465">
        <v>517.52787999999998</v>
      </c>
      <c r="K3548" s="465">
        <v>52117.53903</v>
      </c>
      <c r="L3548" s="464" t="s">
        <v>539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/>
      </c>
      <c r="C3549" s="185">
        <f t="shared" si="111"/>
        <v>172.24359000000001</v>
      </c>
      <c r="D3549" s="409" t="s">
        <v>1428</v>
      </c>
      <c r="E3549" s="409" t="s">
        <v>68</v>
      </c>
      <c r="F3549" s="409" t="s">
        <v>68</v>
      </c>
      <c r="G3549" s="409" t="s">
        <v>68</v>
      </c>
      <c r="H3549" s="465">
        <v>4790.4878799999997</v>
      </c>
      <c r="I3549" s="465">
        <v>172.24359000000001</v>
      </c>
      <c r="J3549" s="465">
        <v>681.72469000000001</v>
      </c>
      <c r="K3549" s="465">
        <v>68649.948189999996</v>
      </c>
      <c r="L3549" s="464" t="s">
        <v>539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/>
      </c>
      <c r="C3550" s="185">
        <f t="shared" si="111"/>
        <v>219.73482999999999</v>
      </c>
      <c r="D3550" s="409" t="s">
        <v>1429</v>
      </c>
      <c r="E3550" s="409" t="s">
        <v>68</v>
      </c>
      <c r="F3550" s="409" t="s">
        <v>68</v>
      </c>
      <c r="G3550" s="409" t="s">
        <v>68</v>
      </c>
      <c r="H3550" s="465">
        <v>6111.3279300000004</v>
      </c>
      <c r="I3550" s="465">
        <v>219.73482999999999</v>
      </c>
      <c r="J3550" s="465">
        <v>869.62743999999998</v>
      </c>
      <c r="K3550" s="465">
        <v>87578.208360000004</v>
      </c>
      <c r="L3550" s="464" t="s">
        <v>539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Harmony sada kovania pre dvoje dvere</v>
      </c>
      <c r="C3551" s="185">
        <f t="shared" si="111"/>
        <v>1044.8150800000001</v>
      </c>
      <c r="D3551" s="409" t="s">
        <v>1557</v>
      </c>
      <c r="E3551" s="409" t="s">
        <v>1812</v>
      </c>
      <c r="F3551" s="409" t="s">
        <v>2160</v>
      </c>
      <c r="G3551" s="409" t="s">
        <v>2377</v>
      </c>
      <c r="H3551" s="465">
        <v>23191.801090000001</v>
      </c>
      <c r="I3551" s="465">
        <v>1044.8150800000001</v>
      </c>
      <c r="J3551" s="465">
        <v>3531.98792</v>
      </c>
      <c r="K3551" s="465">
        <v>408066.88141999999</v>
      </c>
      <c r="L3551" s="464" t="s">
        <v>539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str">
        <f t="shared" si="110"/>
        <v>SEVROLL 04377-A Fox II úchytová lišta 2,7m oliva new</v>
      </c>
      <c r="C3552" s="185" t="e">
        <f t="shared" si="111"/>
        <v>#N/A</v>
      </c>
      <c r="D3552" s="409" t="s">
        <v>1566</v>
      </c>
      <c r="E3552" s="409" t="s">
        <v>1993</v>
      </c>
      <c r="F3552" s="409" t="s">
        <v>1566</v>
      </c>
      <c r="G3552" s="409" t="s">
        <v>2498</v>
      </c>
      <c r="H3552" s="465" t="e">
        <v>#N/A</v>
      </c>
      <c r="I3552" s="465" t="e">
        <v>#N/A</v>
      </c>
      <c r="J3552" s="465" t="e">
        <v>#N/A</v>
      </c>
      <c r="K3552" s="465" t="e">
        <v>#N/A</v>
      </c>
      <c r="L3552" s="464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str">
        <f t="shared" si="110"/>
        <v>SEVROLL 01008-A Gemini horné vedenie 1,7m oliva new</v>
      </c>
      <c r="C3553" s="185" t="e">
        <f t="shared" si="111"/>
        <v>#N/A</v>
      </c>
      <c r="D3553" s="409" t="s">
        <v>1568</v>
      </c>
      <c r="E3553" s="409" t="s">
        <v>1995</v>
      </c>
      <c r="F3553" s="409" t="s">
        <v>6060</v>
      </c>
      <c r="G3553" s="409" t="s">
        <v>2500</v>
      </c>
      <c r="H3553" s="465" t="e">
        <v>#N/A</v>
      </c>
      <c r="I3553" s="465" t="e">
        <v>#N/A</v>
      </c>
      <c r="J3553" s="465" t="e">
        <v>#N/A</v>
      </c>
      <c r="K3553" s="465" t="e">
        <v>#N/A</v>
      </c>
      <c r="L3553" s="464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str">
        <f t="shared" si="110"/>
        <v>SEVROLL 01010-A Gemini horné vedenie 2,35m oliva new</v>
      </c>
      <c r="C3554" s="185" t="e">
        <f t="shared" si="111"/>
        <v>#N/A</v>
      </c>
      <c r="D3554" s="409" t="s">
        <v>1569</v>
      </c>
      <c r="E3554" s="409" t="s">
        <v>1996</v>
      </c>
      <c r="F3554" s="409" t="s">
        <v>6061</v>
      </c>
      <c r="G3554" s="409" t="s">
        <v>2501</v>
      </c>
      <c r="H3554" s="465" t="e">
        <v>#N/A</v>
      </c>
      <c r="I3554" s="465" t="e">
        <v>#N/A</v>
      </c>
      <c r="J3554" s="465" t="e">
        <v>#N/A</v>
      </c>
      <c r="K3554" s="465" t="e">
        <v>#N/A</v>
      </c>
      <c r="L3554" s="464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str">
        <f t="shared" si="110"/>
        <v>SEVROLL 01011-A Gemini horné vedenie 3m oliva new</v>
      </c>
      <c r="C3555" s="185" t="e">
        <f t="shared" si="111"/>
        <v>#N/A</v>
      </c>
      <c r="D3555" s="409" t="s">
        <v>1570</v>
      </c>
      <c r="E3555" s="409" t="s">
        <v>1997</v>
      </c>
      <c r="F3555" s="409" t="s">
        <v>6062</v>
      </c>
      <c r="G3555" s="409" t="s">
        <v>2502</v>
      </c>
      <c r="H3555" s="465" t="e">
        <v>#N/A</v>
      </c>
      <c r="I3555" s="465" t="e">
        <v>#N/A</v>
      </c>
      <c r="J3555" s="465" t="e">
        <v>#N/A</v>
      </c>
      <c r="K3555" s="465" t="e">
        <v>#N/A</v>
      </c>
      <c r="L3555" s="464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str">
        <f t="shared" si="110"/>
        <v>SEVROLL  01439-A Gemini horné vedenie 4,05m oliva new</v>
      </c>
      <c r="C3556" s="185" t="e">
        <f t="shared" si="111"/>
        <v>#N/A</v>
      </c>
      <c r="D3556" s="409" t="s">
        <v>1571</v>
      </c>
      <c r="E3556" s="409" t="s">
        <v>1998</v>
      </c>
      <c r="F3556" s="409" t="s">
        <v>6063</v>
      </c>
      <c r="G3556" s="409" t="s">
        <v>2503</v>
      </c>
      <c r="H3556" s="465" t="e">
        <v>#N/A</v>
      </c>
      <c r="I3556" s="465" t="e">
        <v>#N/A</v>
      </c>
      <c r="J3556" s="465" t="e">
        <v>#N/A</v>
      </c>
      <c r="K3556" s="465" t="e">
        <v>#N/A</v>
      </c>
      <c r="L3556" s="464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str">
        <f t="shared" si="110"/>
        <v>SEVROLL 00093-A uholník Mini 17x11mm oliva new 1,7m</v>
      </c>
      <c r="C3557" s="185" t="e">
        <f t="shared" si="111"/>
        <v>#N/A</v>
      </c>
      <c r="D3557" s="409" t="s">
        <v>6064</v>
      </c>
      <c r="E3557" s="409" t="s">
        <v>6065</v>
      </c>
      <c r="F3557" s="409" t="s">
        <v>6066</v>
      </c>
      <c r="G3557" s="409" t="s">
        <v>6067</v>
      </c>
      <c r="H3557" s="465" t="e">
        <v>#N/A</v>
      </c>
      <c r="I3557" s="465" t="e">
        <v>#N/A</v>
      </c>
      <c r="J3557" s="465" t="e">
        <v>#N/A</v>
      </c>
      <c r="K3557" s="465" t="e">
        <v>#N/A</v>
      </c>
      <c r="L3557" s="464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str">
        <f t="shared" si="110"/>
        <v>SEVROLL 00094-A uholník Mini 17x11mm 2,35m oliva new</v>
      </c>
      <c r="C3558" s="185" t="e">
        <f t="shared" si="111"/>
        <v>#N/A</v>
      </c>
      <c r="D3558" s="409" t="s">
        <v>6068</v>
      </c>
      <c r="E3558" s="409" t="s">
        <v>6069</v>
      </c>
      <c r="F3558" s="409" t="s">
        <v>6070</v>
      </c>
      <c r="G3558" s="409" t="s">
        <v>6071</v>
      </c>
      <c r="H3558" s="465" t="e">
        <v>#N/A</v>
      </c>
      <c r="I3558" s="465" t="e">
        <v>#N/A</v>
      </c>
      <c r="J3558" s="465" t="e">
        <v>#N/A</v>
      </c>
      <c r="K3558" s="465" t="e">
        <v>#N/A</v>
      </c>
      <c r="L3558" s="464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str">
        <f t="shared" si="110"/>
        <v>SEVROLL spojovaciá lišta "T" 3m oliva new</v>
      </c>
      <c r="C3559" s="185" t="e">
        <f t="shared" si="111"/>
        <v>#N/A</v>
      </c>
      <c r="D3559" s="409" t="s">
        <v>1572</v>
      </c>
      <c r="E3559" s="409" t="s">
        <v>1999</v>
      </c>
      <c r="F3559" s="409" t="s">
        <v>2202</v>
      </c>
      <c r="G3559" s="409" t="s">
        <v>6072</v>
      </c>
      <c r="H3559" s="465" t="e">
        <v>#N/A</v>
      </c>
      <c r="I3559" s="465" t="e">
        <v>#N/A</v>
      </c>
      <c r="J3559" s="465" t="e">
        <v>#N/A</v>
      </c>
      <c r="K3559" s="465" t="e">
        <v>#N/A</v>
      </c>
      <c r="L3559" s="464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str">
        <f t="shared" si="110"/>
        <v>SEVROLL 161 U PROFna DTD 18mm-3m, oliva new</v>
      </c>
      <c r="C3560" s="185" t="e">
        <f t="shared" si="111"/>
        <v>#N/A</v>
      </c>
      <c r="D3560" s="409" t="s">
        <v>1398</v>
      </c>
      <c r="E3560" s="409" t="s">
        <v>2012</v>
      </c>
      <c r="F3560" s="409" t="s">
        <v>2215</v>
      </c>
      <c r="G3560" s="409" t="s">
        <v>2399</v>
      </c>
      <c r="H3560" s="465" t="e">
        <v>#N/A</v>
      </c>
      <c r="I3560" s="465" t="e">
        <v>#N/A</v>
      </c>
      <c r="J3560" s="465" t="e">
        <v>#N/A</v>
      </c>
      <c r="K3560" s="465" t="e">
        <v>#N/A</v>
      </c>
      <c r="L3560" s="464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str">
        <f t="shared" si="110"/>
        <v>SEVROLL 00070-A uholník K2 Decor 2,35m oliva new</v>
      </c>
      <c r="C3561" s="185" t="e">
        <f t="shared" si="111"/>
        <v>#N/A</v>
      </c>
      <c r="D3561" s="409" t="s">
        <v>1588</v>
      </c>
      <c r="E3561" s="409" t="s">
        <v>2016</v>
      </c>
      <c r="F3561" s="409" t="s">
        <v>6082</v>
      </c>
      <c r="G3561" s="409" t="s">
        <v>6083</v>
      </c>
      <c r="H3561" s="465" t="e">
        <v>#N/A</v>
      </c>
      <c r="I3561" s="465" t="e">
        <v>#N/A</v>
      </c>
      <c r="J3561" s="465" t="e">
        <v>#N/A</v>
      </c>
      <c r="K3561" s="465" t="e">
        <v>#N/A</v>
      </c>
      <c r="L3561" s="464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str">
        <f t="shared" si="110"/>
        <v>SEVROLL 00071-A uholník K2 Decor 3m oliva new</v>
      </c>
      <c r="C3562" s="185" t="e">
        <f t="shared" si="111"/>
        <v>#N/A</v>
      </c>
      <c r="D3562" s="409" t="s">
        <v>1589</v>
      </c>
      <c r="E3562" s="409" t="s">
        <v>2017</v>
      </c>
      <c r="F3562" s="409" t="s">
        <v>6084</v>
      </c>
      <c r="G3562" s="409" t="s">
        <v>6085</v>
      </c>
      <c r="H3562" s="465" t="e">
        <v>#N/A</v>
      </c>
      <c r="I3562" s="465" t="e">
        <v>#N/A</v>
      </c>
      <c r="J3562" s="465" t="e">
        <v>#N/A</v>
      </c>
      <c r="K3562" s="465" t="e">
        <v>#N/A</v>
      </c>
      <c r="L3562" s="464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str">
        <f t="shared" si="110"/>
        <v>SEVROLL spojovacia lišta H18 3m oliva new</v>
      </c>
      <c r="C3563" s="185" t="e">
        <f t="shared" si="111"/>
        <v>#N/A</v>
      </c>
      <c r="D3563" s="409" t="s">
        <v>1590</v>
      </c>
      <c r="E3563" s="409" t="s">
        <v>2018</v>
      </c>
      <c r="F3563" s="409" t="s">
        <v>2218</v>
      </c>
      <c r="G3563" s="409" t="s">
        <v>6086</v>
      </c>
      <c r="H3563" s="465" t="e">
        <v>#N/A</v>
      </c>
      <c r="I3563" s="465" t="e">
        <v>#N/A</v>
      </c>
      <c r="J3563" s="465" t="e">
        <v>#N/A</v>
      </c>
      <c r="K3563" s="465" t="e">
        <v>#N/A</v>
      </c>
      <c r="L3563" s="464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str">
        <f t="shared" si="110"/>
        <v>SEVROLL 04274-A Elegant II spodné vedenie  2,35m oliva new</v>
      </c>
      <c r="C3564" s="185" t="e">
        <f t="shared" si="111"/>
        <v>#N/A</v>
      </c>
      <c r="D3564" s="409" t="s">
        <v>1598</v>
      </c>
      <c r="E3564" s="409" t="s">
        <v>2026</v>
      </c>
      <c r="F3564" s="409" t="s">
        <v>6090</v>
      </c>
      <c r="G3564" s="409" t="s">
        <v>6091</v>
      </c>
      <c r="H3564" s="465" t="e">
        <v>#N/A</v>
      </c>
      <c r="I3564" s="465" t="e">
        <v>#N/A</v>
      </c>
      <c r="J3564" s="465" t="e">
        <v>#N/A</v>
      </c>
      <c r="K3564" s="465" t="e">
        <v>#N/A</v>
      </c>
      <c r="L3564" s="464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str">
        <f t="shared" si="110"/>
        <v>SEVROLL 04275-A Elegant II spodné vedenie  3m oliva new</v>
      </c>
      <c r="C3565" s="185" t="e">
        <f t="shared" si="111"/>
        <v>#N/A</v>
      </c>
      <c r="D3565" s="409" t="s">
        <v>1599</v>
      </c>
      <c r="E3565" s="409" t="s">
        <v>2027</v>
      </c>
      <c r="F3565" s="409" t="s">
        <v>6092</v>
      </c>
      <c r="G3565" s="409" t="s">
        <v>6093</v>
      </c>
      <c r="H3565" s="465" t="e">
        <v>#N/A</v>
      </c>
      <c r="I3565" s="465" t="e">
        <v>#N/A</v>
      </c>
      <c r="J3565" s="465" t="e">
        <v>#N/A</v>
      </c>
      <c r="K3565" s="465" t="e">
        <v>#N/A</v>
      </c>
      <c r="L3565" s="464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str">
        <f t="shared" si="110"/>
        <v>SEVROLL 04276-A Elegant II spodné vedenie  4,05m oliva new</v>
      </c>
      <c r="C3566" s="185" t="e">
        <f t="shared" si="111"/>
        <v>#N/A</v>
      </c>
      <c r="D3566" s="409" t="s">
        <v>1600</v>
      </c>
      <c r="E3566" s="409" t="s">
        <v>2028</v>
      </c>
      <c r="F3566" s="409" t="s">
        <v>6094</v>
      </c>
      <c r="G3566" s="409" t="s">
        <v>6095</v>
      </c>
      <c r="H3566" s="465" t="e">
        <v>#N/A</v>
      </c>
      <c r="I3566" s="465" t="e">
        <v>#N/A</v>
      </c>
      <c r="J3566" s="465" t="e">
        <v>#N/A</v>
      </c>
      <c r="K3566" s="465" t="e">
        <v>#N/A</v>
      </c>
      <c r="L3566" s="464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str">
        <f t="shared" si="110"/>
        <v>SEVROLL Gemini horné vedenie 6m oliva new</v>
      </c>
      <c r="C3567" s="185" t="e">
        <f t="shared" si="111"/>
        <v>#N/A</v>
      </c>
      <c r="D3567" s="409" t="s">
        <v>1603</v>
      </c>
      <c r="E3567" s="409" t="s">
        <v>2031</v>
      </c>
      <c r="F3567" s="409" t="s">
        <v>2223</v>
      </c>
      <c r="G3567" s="409" t="s">
        <v>2519</v>
      </c>
      <c r="H3567" s="465" t="e">
        <v>#N/A</v>
      </c>
      <c r="I3567" s="465" t="e">
        <v>#N/A</v>
      </c>
      <c r="J3567" s="465" t="e">
        <v>#N/A</v>
      </c>
      <c r="K3567" s="465" t="e">
        <v>#N/A</v>
      </c>
      <c r="L3567" s="464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str">
        <f t="shared" si="110"/>
        <v>SEVROLL 04529-A Alfa II úchytová lišta 18mm 2,70m oliva new</v>
      </c>
      <c r="C3568" s="185" t="e">
        <f t="shared" si="111"/>
        <v>#N/A</v>
      </c>
      <c r="D3568" s="409" t="s">
        <v>1639</v>
      </c>
      <c r="E3568" s="409" t="s">
        <v>2066</v>
      </c>
      <c r="F3568" s="409" t="s">
        <v>1639</v>
      </c>
      <c r="G3568" s="409" t="s">
        <v>2551</v>
      </c>
      <c r="H3568" s="465" t="e">
        <v>#N/A</v>
      </c>
      <c r="I3568" s="465" t="e">
        <v>#N/A</v>
      </c>
      <c r="J3568" s="465" t="e">
        <v>#N/A</v>
      </c>
      <c r="K3568" s="465" t="e">
        <v>#N/A</v>
      </c>
      <c r="L3568" s="464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str">
        <f t="shared" si="110"/>
        <v>SEVROLL 04297-A maska Elegant II 2,35m oliva new</v>
      </c>
      <c r="C3569" s="185" t="e">
        <f t="shared" si="111"/>
        <v>#N/A</v>
      </c>
      <c r="D3569" s="409" t="s">
        <v>1690</v>
      </c>
      <c r="E3569" s="409" t="s">
        <v>2117</v>
      </c>
      <c r="F3569" s="409" t="s">
        <v>1690</v>
      </c>
      <c r="G3569" s="409" t="s">
        <v>6117</v>
      </c>
      <c r="H3569" s="465" t="e">
        <v>#N/A</v>
      </c>
      <c r="I3569" s="465" t="e">
        <v>#N/A</v>
      </c>
      <c r="J3569" s="465" t="e">
        <v>#N/A</v>
      </c>
      <c r="K3569" s="465" t="e">
        <v>#N/A</v>
      </c>
      <c r="L3569" s="464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str">
        <f t="shared" si="110"/>
        <v>SEVROLL 04273-A Elegant II spodné vedenie  1,7m oliva new</v>
      </c>
      <c r="C3570" s="185" t="e">
        <f t="shared" si="111"/>
        <v>#N/A</v>
      </c>
      <c r="D3570" s="409" t="s">
        <v>1691</v>
      </c>
      <c r="E3570" s="409" t="s">
        <v>2118</v>
      </c>
      <c r="F3570" s="409" t="s">
        <v>6118</v>
      </c>
      <c r="G3570" s="409" t="s">
        <v>6119</v>
      </c>
      <c r="H3570" s="465" t="e">
        <v>#N/A</v>
      </c>
      <c r="I3570" s="465" t="e">
        <v>#N/A</v>
      </c>
      <c r="J3570" s="465" t="e">
        <v>#N/A</v>
      </c>
      <c r="K3570" s="465" t="e">
        <v>#N/A</v>
      </c>
      <c r="L3570" s="464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str">
        <f t="shared" si="110"/>
        <v>SEVROLL 04298-A maska Elegant II 3m oliva new</v>
      </c>
      <c r="C3571" s="185" t="e">
        <f t="shared" si="111"/>
        <v>#N/A</v>
      </c>
      <c r="D3571" s="409" t="s">
        <v>1693</v>
      </c>
      <c r="E3571" s="409" t="s">
        <v>2120</v>
      </c>
      <c r="F3571" s="409" t="s">
        <v>1693</v>
      </c>
      <c r="G3571" s="409" t="s">
        <v>6121</v>
      </c>
      <c r="H3571" s="465" t="e">
        <v>#N/A</v>
      </c>
      <c r="I3571" s="465" t="e">
        <v>#N/A</v>
      </c>
      <c r="J3571" s="465" t="e">
        <v>#N/A</v>
      </c>
      <c r="K3571" s="465" t="e">
        <v>#N/A</v>
      </c>
      <c r="L3571" s="464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str">
        <f t="shared" si="110"/>
        <v>SEVROLL 04299-A maska Elegant II 4,05m oliva new</v>
      </c>
      <c r="C3572" s="185" t="e">
        <f t="shared" si="111"/>
        <v>#N/A</v>
      </c>
      <c r="D3572" s="409" t="s">
        <v>1367</v>
      </c>
      <c r="E3572" s="409" t="s">
        <v>1816</v>
      </c>
      <c r="F3572" s="409" t="s">
        <v>1367</v>
      </c>
      <c r="G3572" s="409" t="s">
        <v>5838</v>
      </c>
      <c r="H3572" s="465" t="e">
        <v>#N/A</v>
      </c>
      <c r="I3572" s="465" t="e">
        <v>#N/A</v>
      </c>
      <c r="J3572" s="465" t="e">
        <v>#N/A</v>
      </c>
      <c r="K3572" s="465" t="e">
        <v>#N/A</v>
      </c>
      <c r="L3572" s="464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str">
        <f t="shared" si="110"/>
        <v>SEVROLL 04301-A maska Elegant II 6m oliva new</v>
      </c>
      <c r="C3573" s="185" t="e">
        <f t="shared" si="111"/>
        <v>#N/A</v>
      </c>
      <c r="D3573" s="409" t="s">
        <v>1368</v>
      </c>
      <c r="E3573" s="409" t="s">
        <v>1817</v>
      </c>
      <c r="F3573" s="409" t="s">
        <v>1368</v>
      </c>
      <c r="G3573" s="409" t="s">
        <v>5839</v>
      </c>
      <c r="H3573" s="465" t="e">
        <v>#N/A</v>
      </c>
      <c r="I3573" s="465" t="e">
        <v>#N/A</v>
      </c>
      <c r="J3573" s="465" t="e">
        <v>#N/A</v>
      </c>
      <c r="K3573" s="465" t="e">
        <v>#N/A</v>
      </c>
      <c r="L3573" s="464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str">
        <f t="shared" si="110"/>
        <v>SEVROLL 04492-M Blue-V spodné vedenie  3m oliva new</v>
      </c>
      <c r="C3574" s="185" t="e">
        <f t="shared" si="111"/>
        <v>#N/A</v>
      </c>
      <c r="D3574" s="409" t="s">
        <v>1375</v>
      </c>
      <c r="E3574" s="409" t="s">
        <v>1824</v>
      </c>
      <c r="F3574" s="409" t="s">
        <v>5846</v>
      </c>
      <c r="G3574" s="409" t="s">
        <v>5847</v>
      </c>
      <c r="H3574" s="465" t="e">
        <v>#N/A</v>
      </c>
      <c r="I3574" s="465" t="e">
        <v>#N/A</v>
      </c>
      <c r="J3574" s="465" t="e">
        <v>#N/A</v>
      </c>
      <c r="K3574" s="465" t="e">
        <v>#N/A</v>
      </c>
      <c r="L3574" s="464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str">
        <f t="shared" si="110"/>
        <v>SEVROLL 04278-A Elegant II spodné vedenie  6m oliva new</v>
      </c>
      <c r="C3575" s="185" t="e">
        <f t="shared" si="111"/>
        <v>#N/A</v>
      </c>
      <c r="D3575" s="409" t="s">
        <v>1382</v>
      </c>
      <c r="E3575" s="409" t="s">
        <v>1831</v>
      </c>
      <c r="F3575" s="409" t="s">
        <v>5850</v>
      </c>
      <c r="G3575" s="409" t="s">
        <v>5851</v>
      </c>
      <c r="H3575" s="465" t="e">
        <v>#N/A</v>
      </c>
      <c r="I3575" s="465" t="e">
        <v>#N/A</v>
      </c>
      <c r="J3575" s="465" t="e">
        <v>#N/A</v>
      </c>
      <c r="K3575" s="465" t="e">
        <v>#N/A</v>
      </c>
      <c r="L3575" s="464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úchytová lišta 100mm čierna mat (vzorka)</v>
      </c>
      <c r="C3576" s="185">
        <f t="shared" si="111"/>
        <v>0.31680999999999998</v>
      </c>
      <c r="D3576" s="409" t="s">
        <v>1387</v>
      </c>
      <c r="E3576" s="409" t="s">
        <v>1836</v>
      </c>
      <c r="F3576" s="409" t="s">
        <v>5852</v>
      </c>
      <c r="G3576" s="409" t="s">
        <v>2394</v>
      </c>
      <c r="H3576" s="465">
        <v>8.0211299999999994</v>
      </c>
      <c r="I3576" s="465">
        <v>0.31680999999999998</v>
      </c>
      <c r="J3576" s="465">
        <v>1.54355</v>
      </c>
      <c r="K3576" s="465">
        <v>137.10875999999999</v>
      </c>
      <c r="L3576" s="464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úchytová liš.100mm biela mat</v>
      </c>
      <c r="C3577" s="185">
        <f t="shared" si="111"/>
        <v>0.31263999999999997</v>
      </c>
      <c r="D3577" s="409" t="s">
        <v>1388</v>
      </c>
      <c r="E3577" s="409" t="s">
        <v>1837</v>
      </c>
      <c r="F3577" s="409" t="s">
        <v>2171</v>
      </c>
      <c r="G3577" s="409" t="s">
        <v>2395</v>
      </c>
      <c r="H3577" s="465">
        <v>7.9156300000000002</v>
      </c>
      <c r="I3577" s="465">
        <v>0.31263999999999997</v>
      </c>
      <c r="J3577" s="465">
        <v>1.5232399999999999</v>
      </c>
      <c r="K3577" s="465">
        <v>135.30548999999999</v>
      </c>
      <c r="L3577" s="464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úchytová lišta 100mm čierna lesk (vzorka)</v>
      </c>
      <c r="C3578" s="185">
        <f t="shared" si="111"/>
        <v>0.37302999999999997</v>
      </c>
      <c r="D3578" s="409" t="s">
        <v>1389</v>
      </c>
      <c r="E3578" s="409" t="s">
        <v>1838</v>
      </c>
      <c r="F3578" s="409" t="s">
        <v>5853</v>
      </c>
      <c r="G3578" s="409" t="s">
        <v>2396</v>
      </c>
      <c r="H3578" s="465">
        <v>9.4446300000000001</v>
      </c>
      <c r="I3578" s="465">
        <v>0.37302999999999997</v>
      </c>
      <c r="J3578" s="465">
        <v>1.8174399999999999</v>
      </c>
      <c r="K3578" s="465">
        <v>161.44137000000001</v>
      </c>
      <c r="L3578" s="464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/>
      </c>
      <c r="C3579" s="185">
        <f t="shared" si="111"/>
        <v>0.24016999999999999</v>
      </c>
      <c r="D3579" s="409" t="s">
        <v>1390</v>
      </c>
      <c r="E3579" s="409" t="s">
        <v>1839</v>
      </c>
      <c r="F3579" s="409" t="s">
        <v>68</v>
      </c>
      <c r="G3579" s="409" t="s">
        <v>68</v>
      </c>
      <c r="H3579" s="465">
        <v>6.0808299999999997</v>
      </c>
      <c r="I3579" s="465">
        <v>0.24016999999999999</v>
      </c>
      <c r="J3579" s="465">
        <v>1.17014</v>
      </c>
      <c r="K3579" s="465">
        <v>103.94232</v>
      </c>
      <c r="L3579" s="464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/>
      </c>
      <c r="C3580" s="185">
        <f t="shared" si="111"/>
        <v>0.45943000000000001</v>
      </c>
      <c r="D3580" s="409" t="s">
        <v>1391</v>
      </c>
      <c r="E3580" s="409" t="s">
        <v>1840</v>
      </c>
      <c r="F3580" s="409" t="s">
        <v>68</v>
      </c>
      <c r="G3580" s="409" t="s">
        <v>68</v>
      </c>
      <c r="H3580" s="465">
        <v>11.632020000000001</v>
      </c>
      <c r="I3580" s="465">
        <v>0.45943000000000001</v>
      </c>
      <c r="J3580" s="465">
        <v>2.2383799999999998</v>
      </c>
      <c r="K3580" s="465">
        <v>198.83131</v>
      </c>
      <c r="L3580" s="464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/>
      </c>
      <c r="C3581" s="185">
        <f t="shared" si="111"/>
        <v>0</v>
      </c>
      <c r="D3581" s="409" t="s">
        <v>1392</v>
      </c>
      <c r="E3581" s="409" t="s">
        <v>68</v>
      </c>
      <c r="F3581" s="409" t="s">
        <v>68</v>
      </c>
      <c r="G3581" s="409" t="s">
        <v>68</v>
      </c>
      <c r="H3581" s="465">
        <v>0</v>
      </c>
      <c r="I3581" s="465">
        <v>0</v>
      </c>
      <c r="J3581" s="465">
        <v>231.57578000000001</v>
      </c>
      <c r="K3581" s="465">
        <v>0</v>
      </c>
      <c r="L3581" s="464" t="s">
        <v>539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/>
      </c>
      <c r="C3582" s="185">
        <f t="shared" si="111"/>
        <v>2.5000000000000001E-4</v>
      </c>
      <c r="D3582" s="409" t="s">
        <v>1393</v>
      </c>
      <c r="E3582" s="409" t="s">
        <v>68</v>
      </c>
      <c r="F3582" s="409" t="s">
        <v>68</v>
      </c>
      <c r="G3582" s="409" t="s">
        <v>68</v>
      </c>
      <c r="H3582" s="465">
        <v>7.1199999999999996E-3</v>
      </c>
      <c r="I3582" s="465">
        <v>2.5000000000000001E-4</v>
      </c>
      <c r="J3582" s="465">
        <v>337.33834999999999</v>
      </c>
      <c r="K3582" s="465">
        <v>9.9199999999999997E-2</v>
      </c>
      <c r="L3582" s="464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/>
      </c>
      <c r="C3583" s="185">
        <f t="shared" si="111"/>
        <v>0</v>
      </c>
      <c r="D3583" s="409" t="s">
        <v>1394</v>
      </c>
      <c r="E3583" s="409" t="s">
        <v>68</v>
      </c>
      <c r="F3583" s="409" t="s">
        <v>68</v>
      </c>
      <c r="G3583" s="409" t="s">
        <v>68</v>
      </c>
      <c r="H3583" s="465">
        <v>0</v>
      </c>
      <c r="I3583" s="465">
        <v>0</v>
      </c>
      <c r="J3583" s="465">
        <v>442.46870999999999</v>
      </c>
      <c r="K3583" s="465">
        <v>0</v>
      </c>
      <c r="L3583" s="464" t="s">
        <v>539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/>
      </c>
      <c r="C3584" s="185">
        <f t="shared" si="111"/>
        <v>0</v>
      </c>
      <c r="D3584" s="409" t="s">
        <v>1395</v>
      </c>
      <c r="E3584" s="409" t="s">
        <v>68</v>
      </c>
      <c r="F3584" s="409" t="s">
        <v>68</v>
      </c>
      <c r="G3584" s="409" t="s">
        <v>68</v>
      </c>
      <c r="H3584" s="465">
        <v>0</v>
      </c>
      <c r="I3584" s="465">
        <v>0</v>
      </c>
      <c r="J3584" s="465">
        <v>568.46256000000005</v>
      </c>
      <c r="K3584" s="465">
        <v>0</v>
      </c>
      <c r="L3584" s="464" t="s">
        <v>539</v>
      </c>
      <c r="O3584">
        <v>0</v>
      </c>
      <c r="P3584" t="s">
        <v>9814</v>
      </c>
    </row>
    <row r="3585" spans="1:16" ht="14.4" x14ac:dyDescent="0.3">
      <c r="A3585">
        <v>462566</v>
      </c>
      <c r="B3585" t="str">
        <f t="shared" si="110"/>
        <v>SEVROLL 00095-A uholník Mini 17x11mm 3m oliva new</v>
      </c>
      <c r="C3585" s="185" t="e">
        <f t="shared" si="111"/>
        <v>#N/A</v>
      </c>
      <c r="D3585" s="409" t="s">
        <v>5855</v>
      </c>
      <c r="E3585" s="409" t="s">
        <v>5856</v>
      </c>
      <c r="F3585" s="409" t="s">
        <v>5857</v>
      </c>
      <c r="G3585" s="409" t="s">
        <v>5858</v>
      </c>
      <c r="H3585" s="465" t="e">
        <v>#N/A</v>
      </c>
      <c r="I3585" s="465" t="e">
        <v>#N/A</v>
      </c>
      <c r="J3585" s="465" t="e">
        <v>#N/A</v>
      </c>
      <c r="K3585" s="465" t="e">
        <v>#N/A</v>
      </c>
      <c r="L3585" s="464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str">
        <f t="shared" si="110"/>
        <v>SEVROLL 04296-A  maska Elegant II 1,7m oliva new</v>
      </c>
      <c r="C3586" s="185" t="e">
        <f t="shared" si="111"/>
        <v>#N/A</v>
      </c>
      <c r="D3586" s="409" t="s">
        <v>1402</v>
      </c>
      <c r="E3586" s="409" t="s">
        <v>1847</v>
      </c>
      <c r="F3586" s="409" t="s">
        <v>1402</v>
      </c>
      <c r="G3586" s="409" t="s">
        <v>2403</v>
      </c>
      <c r="H3586" s="465" t="e">
        <v>#N/A</v>
      </c>
      <c r="I3586" s="465" t="e">
        <v>#N/A</v>
      </c>
      <c r="J3586" s="465" t="e">
        <v>#N/A</v>
      </c>
      <c r="K3586" s="465" t="e">
        <v>#N/A</v>
      </c>
      <c r="L3586" s="464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úhelník Mini 17x11mm 4,05m strieborný</v>
      </c>
      <c r="C3587" s="185">
        <f t="shared" si="111"/>
        <v>0</v>
      </c>
      <c r="D3587" s="409" t="s">
        <v>5828</v>
      </c>
      <c r="E3587" s="409" t="s">
        <v>5829</v>
      </c>
      <c r="F3587" s="409" t="s">
        <v>5830</v>
      </c>
      <c r="G3587" s="409" t="s">
        <v>5831</v>
      </c>
      <c r="H3587" s="465">
        <v>0</v>
      </c>
      <c r="I3587" s="465">
        <v>0</v>
      </c>
      <c r="J3587" s="465">
        <v>30.166260000000001</v>
      </c>
      <c r="K3587" s="465">
        <v>0</v>
      </c>
      <c r="L3587" s="464" t="s">
        <v>540</v>
      </c>
      <c r="O3587">
        <v>0</v>
      </c>
      <c r="P3587" t="s">
        <v>9702</v>
      </c>
    </row>
    <row r="3588" spans="1:16" ht="14.4" x14ac:dyDescent="0.3">
      <c r="A3588">
        <v>464295</v>
      </c>
      <c r="B3588" t="str">
        <f t="shared" ref="B3588:B3651" si="112">IF($A$2=1,D3588,IF($A$2=2,F3588,IF($A$2=3,G3588,IF($A$2=4,E3588,IF($A$2&gt;4,P3588,"zadat jazyk")))))</f>
        <v/>
      </c>
      <c r="C3588" s="185" t="e">
        <f t="shared" ref="C3588:C3651" si="113">IF($A$2=1,H3588,IF($A$2=2,I3588,IF($A$2=3,J3588,IF($A$2=4,K3588,IF($A$2&gt;4,O3588,"zadat jazyk")))))</f>
        <v>#N/A</v>
      </c>
      <c r="D3588" s="409" t="s">
        <v>1361</v>
      </c>
      <c r="E3588" s="409" t="s">
        <v>68</v>
      </c>
      <c r="F3588" s="409" t="s">
        <v>68</v>
      </c>
      <c r="G3588" s="409" t="s">
        <v>68</v>
      </c>
      <c r="H3588" s="465" t="e">
        <v>#N/A</v>
      </c>
      <c r="I3588" s="465" t="e">
        <v>#N/A</v>
      </c>
      <c r="J3588" s="465" t="e">
        <v>#N/A</v>
      </c>
      <c r="K3588" s="465" t="e">
        <v>#N/A</v>
      </c>
      <c r="L3588" s="464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/>
      </c>
      <c r="C3589" s="185">
        <f t="shared" si="113"/>
        <v>2.5000000000000001E-4</v>
      </c>
      <c r="D3589" s="409" t="s">
        <v>1362</v>
      </c>
      <c r="E3589" s="409" t="s">
        <v>68</v>
      </c>
      <c r="F3589" s="409" t="s">
        <v>68</v>
      </c>
      <c r="G3589" s="409" t="s">
        <v>68</v>
      </c>
      <c r="H3589" s="465">
        <v>7.1199999999999996E-3</v>
      </c>
      <c r="I3589" s="465">
        <v>2.5000000000000001E-4</v>
      </c>
      <c r="J3589" s="465">
        <v>1</v>
      </c>
      <c r="K3589" s="465">
        <v>9.9199999999999997E-2</v>
      </c>
      <c r="L3589" s="464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str">
        <f t="shared" si="112"/>
        <v>SEVROLL 02986 Maxim II spodné vedenie 1,8m oliva</v>
      </c>
      <c r="C3590" s="185" t="e">
        <f t="shared" si="113"/>
        <v>#N/A</v>
      </c>
      <c r="D3590" s="409" t="s">
        <v>1342</v>
      </c>
      <c r="E3590" s="409" t="s">
        <v>1793</v>
      </c>
      <c r="F3590" s="409" t="s">
        <v>2157</v>
      </c>
      <c r="G3590" s="409" t="s">
        <v>2365</v>
      </c>
      <c r="H3590" s="465" t="e">
        <v>#N/A</v>
      </c>
      <c r="I3590" s="465" t="e">
        <v>#N/A</v>
      </c>
      <c r="J3590" s="465" t="e">
        <v>#N/A</v>
      </c>
      <c r="K3590" s="465" t="e">
        <v>#N/A</v>
      </c>
      <c r="L3590" s="464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str">
        <f t="shared" si="112"/>
        <v>SEVROLL 02996 Maxim II maska 1,8m oliva</v>
      </c>
      <c r="C3591" s="185" t="e">
        <f t="shared" si="113"/>
        <v>#N/A</v>
      </c>
      <c r="D3591" s="409" t="s">
        <v>1343</v>
      </c>
      <c r="E3591" s="409" t="s">
        <v>1794</v>
      </c>
      <c r="F3591" s="409" t="s">
        <v>1343</v>
      </c>
      <c r="G3591" s="409" t="s">
        <v>2366</v>
      </c>
      <c r="H3591" s="465" t="e">
        <v>#N/A</v>
      </c>
      <c r="I3591" s="465" t="e">
        <v>#N/A</v>
      </c>
      <c r="J3591" s="465" t="e">
        <v>#N/A</v>
      </c>
      <c r="K3591" s="465" t="e">
        <v>#N/A</v>
      </c>
      <c r="L3591" s="464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str">
        <f t="shared" si="112"/>
        <v>SEVROLL Alfa II úchytová lišta 100m oliva new (vzorka)</v>
      </c>
      <c r="C3592" s="185" t="e">
        <f t="shared" si="113"/>
        <v>#N/A</v>
      </c>
      <c r="D3592" s="409" t="s">
        <v>1700</v>
      </c>
      <c r="E3592" s="409" t="s">
        <v>2132</v>
      </c>
      <c r="F3592" s="409" t="s">
        <v>6130</v>
      </c>
      <c r="G3592" s="409" t="s">
        <v>2608</v>
      </c>
      <c r="H3592" s="465" t="e">
        <v>#N/A</v>
      </c>
      <c r="I3592" s="465" t="e">
        <v>#N/A</v>
      </c>
      <c r="J3592" s="465" t="e">
        <v>#N/A</v>
      </c>
      <c r="K3592" s="465" t="e">
        <v>#N/A</v>
      </c>
      <c r="L3592" s="464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/>
      </c>
      <c r="C3593" s="185">
        <f t="shared" si="113"/>
        <v>50.301690000000001</v>
      </c>
      <c r="D3593" s="409" t="s">
        <v>3452</v>
      </c>
      <c r="E3593" s="409" t="s">
        <v>68</v>
      </c>
      <c r="F3593" s="409" t="s">
        <v>68</v>
      </c>
      <c r="G3593" s="409" t="s">
        <v>68</v>
      </c>
      <c r="H3593" s="465">
        <v>1399.0048400000001</v>
      </c>
      <c r="I3593" s="465">
        <v>50.301690000000001</v>
      </c>
      <c r="J3593" s="465">
        <v>188.23258000000001</v>
      </c>
      <c r="K3593" s="465">
        <v>20048.398389999998</v>
      </c>
      <c r="L3593" s="464" t="s">
        <v>539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/>
      </c>
      <c r="C3594" s="185">
        <f t="shared" si="113"/>
        <v>76.376329999999996</v>
      </c>
      <c r="D3594" s="409" t="s">
        <v>3453</v>
      </c>
      <c r="E3594" s="409" t="s">
        <v>68</v>
      </c>
      <c r="F3594" s="409" t="s">
        <v>68</v>
      </c>
      <c r="G3594" s="409" t="s">
        <v>68</v>
      </c>
      <c r="H3594" s="465">
        <v>2124.2003399999999</v>
      </c>
      <c r="I3594" s="465">
        <v>76.376329999999996</v>
      </c>
      <c r="J3594" s="465">
        <v>285.87974000000003</v>
      </c>
      <c r="K3594" s="465">
        <v>30440.791539999998</v>
      </c>
      <c r="L3594" s="464" t="s">
        <v>539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/>
      </c>
      <c r="C3595" s="185">
        <f t="shared" si="113"/>
        <v>42.625019999999999</v>
      </c>
      <c r="D3595" s="409" t="s">
        <v>3454</v>
      </c>
      <c r="E3595" s="409" t="s">
        <v>68</v>
      </c>
      <c r="F3595" s="409" t="s">
        <v>68</v>
      </c>
      <c r="G3595" s="409" t="s">
        <v>68</v>
      </c>
      <c r="H3595" s="465">
        <v>1185.4992</v>
      </c>
      <c r="I3595" s="465">
        <v>42.625019999999999</v>
      </c>
      <c r="J3595" s="465">
        <v>159.49850000000001</v>
      </c>
      <c r="K3595" s="465">
        <v>16988.761989999999</v>
      </c>
      <c r="L3595" s="464" t="s">
        <v>539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/>
      </c>
      <c r="C3596" s="185">
        <f t="shared" si="113"/>
        <v>33.178820000000002</v>
      </c>
      <c r="D3596" s="409" t="s">
        <v>3455</v>
      </c>
      <c r="E3596" s="409" t="s">
        <v>68</v>
      </c>
      <c r="F3596" s="409" t="s">
        <v>68</v>
      </c>
      <c r="G3596" s="409" t="s">
        <v>68</v>
      </c>
      <c r="H3596" s="465">
        <v>922.77868999999998</v>
      </c>
      <c r="I3596" s="465">
        <v>33.178820000000002</v>
      </c>
      <c r="J3596" s="465">
        <v>124.18966</v>
      </c>
      <c r="K3596" s="465">
        <v>13223.85332</v>
      </c>
      <c r="L3596" s="464" t="s">
        <v>539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bezpečnostná fólia 500mm/400m</v>
      </c>
      <c r="C3597" s="185">
        <f t="shared" si="113"/>
        <v>485.58172000000002</v>
      </c>
      <c r="D3597" s="409" t="s">
        <v>3456</v>
      </c>
      <c r="E3597" s="409" t="s">
        <v>6213</v>
      </c>
      <c r="F3597" s="409" t="s">
        <v>6214</v>
      </c>
      <c r="G3597" s="409" t="s">
        <v>6215</v>
      </c>
      <c r="H3597" s="465">
        <v>14330.991029999999</v>
      </c>
      <c r="I3597" s="465">
        <v>485.58172000000002</v>
      </c>
      <c r="J3597" s="465">
        <v>1890.3761999999999</v>
      </c>
      <c r="K3597" s="465">
        <v>199019.77697000001</v>
      </c>
      <c r="L3597" s="464" t="s">
        <v>539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/>
      </c>
      <c r="C3598" s="185">
        <f t="shared" si="113"/>
        <v>2.5500000000000002E-3</v>
      </c>
      <c r="D3598" s="409" t="s">
        <v>3457</v>
      </c>
      <c r="E3598" s="409" t="s">
        <v>68</v>
      </c>
      <c r="F3598" s="409" t="s">
        <v>68</v>
      </c>
      <c r="G3598" s="409" t="s">
        <v>68</v>
      </c>
      <c r="H3598" s="465">
        <v>7.5060000000000002E-2</v>
      </c>
      <c r="I3598" s="465">
        <v>2.5500000000000002E-3</v>
      </c>
      <c r="J3598" s="465">
        <v>9.7099999999999999E-3</v>
      </c>
      <c r="K3598" s="465">
        <v>0.99795999999999996</v>
      </c>
      <c r="L3598" s="464" t="s">
        <v>541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/>
      </c>
      <c r="C3599" s="185">
        <f t="shared" si="113"/>
        <v>2.5500000000000002E-3</v>
      </c>
      <c r="D3599" s="409" t="s">
        <v>3458</v>
      </c>
      <c r="E3599" s="409" t="s">
        <v>68</v>
      </c>
      <c r="F3599" s="409" t="s">
        <v>68</v>
      </c>
      <c r="G3599" s="409" t="s">
        <v>68</v>
      </c>
      <c r="H3599" s="465">
        <v>7.5060000000000002E-2</v>
      </c>
      <c r="I3599" s="465">
        <v>2.5500000000000002E-3</v>
      </c>
      <c r="J3599" s="465">
        <v>9.7099999999999999E-3</v>
      </c>
      <c r="K3599" s="465">
        <v>0.99795999999999996</v>
      </c>
      <c r="L3599" s="464" t="s">
        <v>541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spodná krycia lišta Simple/Blue 2m (pre lamino 18mm) čierna mat</v>
      </c>
      <c r="C3600" s="185">
        <f t="shared" si="113"/>
        <v>17.331050000000001</v>
      </c>
      <c r="D3600" s="409" t="s">
        <v>3459</v>
      </c>
      <c r="E3600" s="409" t="s">
        <v>6216</v>
      </c>
      <c r="F3600" s="409" t="s">
        <v>6217</v>
      </c>
      <c r="G3600" s="409" t="s">
        <v>6218</v>
      </c>
      <c r="H3600" s="465">
        <v>476.81455</v>
      </c>
      <c r="I3600" s="465">
        <v>17.331050000000001</v>
      </c>
      <c r="J3600" s="465">
        <v>85.189250000000001</v>
      </c>
      <c r="K3600" s="465">
        <v>7047.3470500000003</v>
      </c>
      <c r="L3600" s="464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spodná krycia lišta Simple/Blue 3m (pre lamino 18mm) čierna mat</v>
      </c>
      <c r="C3601" s="185">
        <f t="shared" si="113"/>
        <v>25.970549999999999</v>
      </c>
      <c r="D3601" s="409" t="s">
        <v>3460</v>
      </c>
      <c r="E3601" s="409" t="s">
        <v>6219</v>
      </c>
      <c r="F3601" s="409" t="s">
        <v>6220</v>
      </c>
      <c r="G3601" s="409" t="s">
        <v>6221</v>
      </c>
      <c r="H3601" s="465">
        <v>714.50588000000005</v>
      </c>
      <c r="I3601" s="465">
        <v>25.970549999999999</v>
      </c>
      <c r="J3601" s="465">
        <v>127.83893999999999</v>
      </c>
      <c r="K3601" s="465">
        <v>10560.43881</v>
      </c>
      <c r="L3601" s="464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horná vodiaca lišta Simple/Blue 2m (pre lamino 18mm) čierna mat</v>
      </c>
      <c r="C3602" s="185">
        <f t="shared" si="113"/>
        <v>8.8476800000000004</v>
      </c>
      <c r="D3602" s="409" t="s">
        <v>3461</v>
      </c>
      <c r="E3602" s="409" t="s">
        <v>6222</v>
      </c>
      <c r="F3602" s="409" t="s">
        <v>6223</v>
      </c>
      <c r="G3602" s="409" t="s">
        <v>6224</v>
      </c>
      <c r="H3602" s="465">
        <v>243.41883999999999</v>
      </c>
      <c r="I3602" s="465">
        <v>8.8476800000000004</v>
      </c>
      <c r="J3602" s="465">
        <v>44.207169999999998</v>
      </c>
      <c r="K3602" s="465">
        <v>3597.7446500000001</v>
      </c>
      <c r="L3602" s="464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horná vodiaca lišta Simple/Blue 3m (pre lamino 18mm) čierna mat</v>
      </c>
      <c r="C3603" s="185">
        <f t="shared" si="113"/>
        <v>13.27153</v>
      </c>
      <c r="D3603" s="409" t="s">
        <v>3462</v>
      </c>
      <c r="E3603" s="409" t="s">
        <v>6225</v>
      </c>
      <c r="F3603" s="409" t="s">
        <v>6226</v>
      </c>
      <c r="G3603" s="409" t="s">
        <v>6227</v>
      </c>
      <c r="H3603" s="465">
        <v>365.12824999999998</v>
      </c>
      <c r="I3603" s="465">
        <v>13.27153</v>
      </c>
      <c r="J3603" s="465">
        <v>66.326480000000004</v>
      </c>
      <c r="K3603" s="465">
        <v>5396.6169900000004</v>
      </c>
      <c r="L3603" s="464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spojovacia lišta Simple/Blue H21 3m (pre lamino 18mm) čierna mat</v>
      </c>
      <c r="C3604" s="185">
        <f t="shared" si="113"/>
        <v>14.8589</v>
      </c>
      <c r="D3604" s="409" t="s">
        <v>3463</v>
      </c>
      <c r="E3604" s="409" t="s">
        <v>6228</v>
      </c>
      <c r="F3604" s="409" t="s">
        <v>6229</v>
      </c>
      <c r="G3604" s="409" t="s">
        <v>6230</v>
      </c>
      <c r="H3604" s="465">
        <v>408.80045000000001</v>
      </c>
      <c r="I3604" s="465">
        <v>14.8589</v>
      </c>
      <c r="J3604" s="465">
        <v>61.339410000000001</v>
      </c>
      <c r="K3604" s="465">
        <v>6042.0946599999997</v>
      </c>
      <c r="L3604" s="464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úchytová lišta 18mm 2,70m čierna mat</v>
      </c>
      <c r="C3605" s="185">
        <f t="shared" si="113"/>
        <v>15.89981</v>
      </c>
      <c r="D3605" s="409" t="s">
        <v>3464</v>
      </c>
      <c r="E3605" s="409" t="s">
        <v>6231</v>
      </c>
      <c r="F3605" s="409" t="s">
        <v>6232</v>
      </c>
      <c r="G3605" s="409" t="s">
        <v>6233</v>
      </c>
      <c r="H3605" s="465">
        <v>437.43795999999998</v>
      </c>
      <c r="I3605" s="465">
        <v>15.89981</v>
      </c>
      <c r="J3605" s="465">
        <v>55.817450000000001</v>
      </c>
      <c r="K3605" s="465">
        <v>6465.3587500000003</v>
      </c>
      <c r="L3605" s="464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úchytová lišta 18mm 2,70m čierna mat</v>
      </c>
      <c r="C3606" s="185">
        <f t="shared" si="113"/>
        <v>16.21208</v>
      </c>
      <c r="D3606" s="409" t="s">
        <v>3465</v>
      </c>
      <c r="E3606" s="409" t="s">
        <v>6234</v>
      </c>
      <c r="F3606" s="409" t="s">
        <v>6235</v>
      </c>
      <c r="G3606" s="409" t="s">
        <v>6236</v>
      </c>
      <c r="H3606" s="465">
        <v>446.02920999999998</v>
      </c>
      <c r="I3606" s="465">
        <v>16.21208</v>
      </c>
      <c r="J3606" s="465">
        <v>66.609660000000005</v>
      </c>
      <c r="K3606" s="465">
        <v>6592.3378899999998</v>
      </c>
      <c r="L3606" s="464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spodné vedenie 2m čierna mat</v>
      </c>
      <c r="C3607" s="185">
        <f t="shared" si="113"/>
        <v>10.487109999999999</v>
      </c>
      <c r="D3607" s="409" t="s">
        <v>3466</v>
      </c>
      <c r="E3607" s="409" t="s">
        <v>6237</v>
      </c>
      <c r="F3607" s="409" t="s">
        <v>6238</v>
      </c>
      <c r="G3607" s="409" t="s">
        <v>6239</v>
      </c>
      <c r="H3607" s="465">
        <v>288.52291000000002</v>
      </c>
      <c r="I3607" s="465">
        <v>10.487109999999999</v>
      </c>
      <c r="J3607" s="465">
        <v>44.993769999999998</v>
      </c>
      <c r="K3607" s="465">
        <v>4264.3854499999998</v>
      </c>
      <c r="L3607" s="464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spodné vedenie 3m čierna mat</v>
      </c>
      <c r="C3608" s="185">
        <f t="shared" si="113"/>
        <v>15.74367</v>
      </c>
      <c r="D3608" s="409" t="s">
        <v>3467</v>
      </c>
      <c r="E3608" s="409" t="s">
        <v>6240</v>
      </c>
      <c r="F3608" s="409" t="s">
        <v>6241</v>
      </c>
      <c r="G3608" s="409" t="s">
        <v>6242</v>
      </c>
      <c r="H3608" s="465">
        <v>433.14235000000002</v>
      </c>
      <c r="I3608" s="465">
        <v>15.74367</v>
      </c>
      <c r="J3608" s="465">
        <v>67.490650000000002</v>
      </c>
      <c r="K3608" s="465">
        <v>6401.8693899999998</v>
      </c>
      <c r="L3608" s="464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spodné vedenie 6m čierna mat</v>
      </c>
      <c r="C3609" s="185">
        <f t="shared" si="113"/>
        <v>31.461320000000001</v>
      </c>
      <c r="D3609" s="409" t="s">
        <v>3468</v>
      </c>
      <c r="E3609" s="409" t="s">
        <v>6243</v>
      </c>
      <c r="F3609" s="409" t="s">
        <v>6244</v>
      </c>
      <c r="G3609" s="409" t="s">
        <v>6245</v>
      </c>
      <c r="H3609" s="465">
        <v>865.56874000000005</v>
      </c>
      <c r="I3609" s="465">
        <v>31.461320000000001</v>
      </c>
      <c r="J3609" s="465">
        <v>134.91838000000001</v>
      </c>
      <c r="K3609" s="465">
        <v>12793.156789999999</v>
      </c>
      <c r="L3609" s="464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horné vedenie 2m čierna mat</v>
      </c>
      <c r="C3610" s="185">
        <f t="shared" si="113"/>
        <v>19.621040000000001</v>
      </c>
      <c r="D3610" s="409" t="s">
        <v>3469</v>
      </c>
      <c r="E3610" s="409" t="s">
        <v>6246</v>
      </c>
      <c r="F3610" s="409" t="s">
        <v>6247</v>
      </c>
      <c r="G3610" s="409" t="s">
        <v>6248</v>
      </c>
      <c r="H3610" s="465">
        <v>539.81704999999999</v>
      </c>
      <c r="I3610" s="465">
        <v>19.621040000000001</v>
      </c>
      <c r="J3610" s="465">
        <v>66.342209999999994</v>
      </c>
      <c r="K3610" s="465">
        <v>7978.5276999999996</v>
      </c>
      <c r="L3610" s="464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horné vedenie 3m čierna mat</v>
      </c>
      <c r="C3611" s="185">
        <f t="shared" si="113"/>
        <v>29.431560000000001</v>
      </c>
      <c r="D3611" s="409" t="s">
        <v>3470</v>
      </c>
      <c r="E3611" s="409" t="s">
        <v>6249</v>
      </c>
      <c r="F3611" s="409" t="s">
        <v>6250</v>
      </c>
      <c r="G3611" s="409" t="s">
        <v>6251</v>
      </c>
      <c r="H3611" s="465">
        <v>809.72559000000001</v>
      </c>
      <c r="I3611" s="465">
        <v>29.431560000000001</v>
      </c>
      <c r="J3611" s="465">
        <v>99.55265</v>
      </c>
      <c r="K3611" s="465">
        <v>11967.79175</v>
      </c>
      <c r="L3611" s="464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horné vedenie 6m čierna mat</v>
      </c>
      <c r="C3612" s="185">
        <f t="shared" si="113"/>
        <v>58.863120000000002</v>
      </c>
      <c r="D3612" s="409" t="s">
        <v>3471</v>
      </c>
      <c r="E3612" s="409" t="s">
        <v>6252</v>
      </c>
      <c r="F3612" s="409" t="s">
        <v>6253</v>
      </c>
      <c r="G3612" s="409" t="s">
        <v>6254</v>
      </c>
      <c r="H3612" s="465">
        <v>1619.45119</v>
      </c>
      <c r="I3612" s="465">
        <v>58.863120000000002</v>
      </c>
      <c r="J3612" s="465">
        <v>199.01089999999999</v>
      </c>
      <c r="K3612" s="465">
        <v>23935.583500000001</v>
      </c>
      <c r="L3612" s="464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</v>
      </c>
      <c r="C3613" s="185">
        <f t="shared" si="113"/>
        <v>552.02937999999995</v>
      </c>
      <c r="D3613" s="409" t="s">
        <v>3472</v>
      </c>
      <c r="E3613" s="409" t="s">
        <v>6255</v>
      </c>
      <c r="F3613" s="409" t="s">
        <v>6255</v>
      </c>
      <c r="G3613" s="409" t="s">
        <v>6255</v>
      </c>
      <c r="H3613" s="465">
        <v>12253.41777</v>
      </c>
      <c r="I3613" s="465">
        <v>552.02937999999995</v>
      </c>
      <c r="J3613" s="465">
        <v>1866.1271999999999</v>
      </c>
      <c r="K3613" s="465">
        <v>215602.65870999999</v>
      </c>
      <c r="L3613" s="464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</v>
      </c>
      <c r="C3614" s="185">
        <f t="shared" si="113"/>
        <v>580.18046000000004</v>
      </c>
      <c r="D3614" s="409" t="s">
        <v>3473</v>
      </c>
      <c r="E3614" s="409" t="s">
        <v>6256</v>
      </c>
      <c r="F3614" s="409" t="s">
        <v>6256</v>
      </c>
      <c r="G3614" s="409" t="s">
        <v>6256</v>
      </c>
      <c r="H3614" s="465">
        <v>12878.288259999999</v>
      </c>
      <c r="I3614" s="465">
        <v>580.18046000000004</v>
      </c>
      <c r="J3614" s="465">
        <v>1961.3184000000001</v>
      </c>
      <c r="K3614" s="465">
        <v>226597.44734000001</v>
      </c>
      <c r="L3614" s="464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/>
      </c>
      <c r="C3615" s="185">
        <f t="shared" si="113"/>
        <v>0</v>
      </c>
      <c r="D3615" s="409" t="s">
        <v>3474</v>
      </c>
      <c r="E3615" s="409" t="s">
        <v>6257</v>
      </c>
      <c r="F3615" s="409" t="s">
        <v>68</v>
      </c>
      <c r="G3615" s="409" t="s">
        <v>68</v>
      </c>
      <c r="H3615" s="465">
        <v>0</v>
      </c>
      <c r="I3615" s="465">
        <v>0</v>
      </c>
      <c r="J3615" s="465">
        <v>0</v>
      </c>
      <c r="K3615" s="465">
        <v>0</v>
      </c>
      <c r="L3615" s="464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/>
      </c>
      <c r="C3616" s="185">
        <f t="shared" si="113"/>
        <v>0</v>
      </c>
      <c r="D3616" s="409" t="s">
        <v>3475</v>
      </c>
      <c r="E3616" s="409" t="s">
        <v>6258</v>
      </c>
      <c r="F3616" s="409" t="s">
        <v>68</v>
      </c>
      <c r="G3616" s="409" t="s">
        <v>68</v>
      </c>
      <c r="H3616" s="465">
        <v>0</v>
      </c>
      <c r="I3616" s="465">
        <v>0</v>
      </c>
      <c r="J3616" s="465">
        <v>0</v>
      </c>
      <c r="K3616" s="465">
        <v>0</v>
      </c>
      <c r="L3616" s="464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/>
      </c>
      <c r="C3617" s="185">
        <f t="shared" si="113"/>
        <v>0</v>
      </c>
      <c r="D3617" s="409" t="s">
        <v>3476</v>
      </c>
      <c r="E3617" s="409" t="s">
        <v>6259</v>
      </c>
      <c r="F3617" s="409" t="s">
        <v>68</v>
      </c>
      <c r="G3617" s="409" t="s">
        <v>68</v>
      </c>
      <c r="H3617" s="465">
        <v>0</v>
      </c>
      <c r="I3617" s="465">
        <v>0</v>
      </c>
      <c r="J3617" s="465">
        <v>0</v>
      </c>
      <c r="K3617" s="465">
        <v>0</v>
      </c>
      <c r="L3617" s="464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/>
      </c>
      <c r="C3618" s="185">
        <f t="shared" si="113"/>
        <v>0</v>
      </c>
      <c r="D3618" s="409" t="s">
        <v>3477</v>
      </c>
      <c r="E3618" s="409" t="s">
        <v>6260</v>
      </c>
      <c r="F3618" s="409" t="s">
        <v>68</v>
      </c>
      <c r="G3618" s="409" t="s">
        <v>68</v>
      </c>
      <c r="H3618" s="465">
        <v>0</v>
      </c>
      <c r="I3618" s="465">
        <v>0</v>
      </c>
      <c r="J3618" s="465">
        <v>0</v>
      </c>
      <c r="K3618" s="465">
        <v>0</v>
      </c>
      <c r="L3618" s="464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úchytová lišta 2,7m strieborn</v>
      </c>
      <c r="C3619" s="185">
        <f t="shared" si="113"/>
        <v>21.442620000000002</v>
      </c>
      <c r="D3619" s="409" t="s">
        <v>6261</v>
      </c>
      <c r="E3619" s="409" t="s">
        <v>6262</v>
      </c>
      <c r="F3619" s="409" t="s">
        <v>6263</v>
      </c>
      <c r="G3619" s="409" t="s">
        <v>6264</v>
      </c>
      <c r="H3619" s="465">
        <v>596.36832000000004</v>
      </c>
      <c r="I3619" s="465">
        <v>21.442620000000002</v>
      </c>
      <c r="J3619" s="465">
        <v>78.988799999999998</v>
      </c>
      <c r="K3619" s="465">
        <v>8546.2390500000001</v>
      </c>
      <c r="L3619" s="464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úchytová lišta 3m strieborn</v>
      </c>
      <c r="C3620" s="185">
        <f t="shared" si="113"/>
        <v>23.810680000000001</v>
      </c>
      <c r="D3620" s="409" t="s">
        <v>6265</v>
      </c>
      <c r="E3620" s="409" t="s">
        <v>6266</v>
      </c>
      <c r="F3620" s="409" t="s">
        <v>6267</v>
      </c>
      <c r="G3620" s="409" t="s">
        <v>6268</v>
      </c>
      <c r="H3620" s="465">
        <v>662.22942</v>
      </c>
      <c r="I3620" s="465">
        <v>23.810680000000001</v>
      </c>
      <c r="J3620" s="465">
        <v>87.771000000000001</v>
      </c>
      <c r="K3620" s="465">
        <v>9490.0595200000007</v>
      </c>
      <c r="L3620" s="464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úchytová lišta 2,7m oliva</v>
      </c>
      <c r="C3621" s="185">
        <f t="shared" si="113"/>
        <v>29.769850000000002</v>
      </c>
      <c r="D3621" s="409" t="s">
        <v>6269</v>
      </c>
      <c r="E3621" s="409" t="s">
        <v>6270</v>
      </c>
      <c r="F3621" s="409" t="s">
        <v>6271</v>
      </c>
      <c r="G3621" s="409" t="s">
        <v>6272</v>
      </c>
      <c r="H3621" s="465">
        <v>827.96767999999997</v>
      </c>
      <c r="I3621" s="465">
        <v>29.769850000000002</v>
      </c>
      <c r="J3621" s="465">
        <v>102.37097</v>
      </c>
      <c r="K3621" s="465">
        <v>11865.16689</v>
      </c>
      <c r="L3621" s="464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úchytová lišta 2,7m oliva</v>
      </c>
      <c r="C3622" s="185">
        <f t="shared" si="113"/>
        <v>26.803280000000001</v>
      </c>
      <c r="D3622" s="409" t="s">
        <v>6273</v>
      </c>
      <c r="E3622" s="409" t="s">
        <v>6274</v>
      </c>
      <c r="F3622" s="409" t="s">
        <v>6273</v>
      </c>
      <c r="G3622" s="409" t="s">
        <v>6275</v>
      </c>
      <c r="H3622" s="465">
        <v>745.46042</v>
      </c>
      <c r="I3622" s="465">
        <v>26.803280000000001</v>
      </c>
      <c r="J3622" s="465">
        <v>92.169669999999996</v>
      </c>
      <c r="K3622" s="465">
        <v>10682.799000000001</v>
      </c>
      <c r="L3622" s="464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úch.lišta 2,7m strieborná</v>
      </c>
      <c r="C3623" s="185">
        <f t="shared" si="113"/>
        <v>22.639659999999999</v>
      </c>
      <c r="D3623" s="409" t="s">
        <v>6276</v>
      </c>
      <c r="E3623" s="409" t="s">
        <v>6277</v>
      </c>
      <c r="F3623" s="409" t="s">
        <v>6278</v>
      </c>
      <c r="G3623" s="409" t="s">
        <v>6279</v>
      </c>
      <c r="H3623" s="465">
        <v>629.66074000000003</v>
      </c>
      <c r="I3623" s="465">
        <v>22.639659999999999</v>
      </c>
      <c r="J3623" s="465">
        <v>78.988799999999998</v>
      </c>
      <c r="K3623" s="465">
        <v>9023.3350900000005</v>
      </c>
      <c r="L3623" s="464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úch lišta 2 7m oliva</v>
      </c>
      <c r="C3624" s="185">
        <f t="shared" si="113"/>
        <v>28.31259</v>
      </c>
      <c r="D3624" s="409" t="s">
        <v>6280</v>
      </c>
      <c r="E3624" s="409" t="s">
        <v>6281</v>
      </c>
      <c r="F3624" s="409" t="s">
        <v>6282</v>
      </c>
      <c r="G3624" s="409" t="s">
        <v>6283</v>
      </c>
      <c r="H3624" s="465">
        <v>787.43781000000001</v>
      </c>
      <c r="I3624" s="465">
        <v>28.31259</v>
      </c>
      <c r="J3624" s="465">
        <v>97.359819999999999</v>
      </c>
      <c r="K3624" s="465">
        <v>11284.35476</v>
      </c>
      <c r="L3624" s="464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úch.lišta 2,7m strieborná</v>
      </c>
      <c r="C3625" s="185">
        <f t="shared" si="113"/>
        <v>22.639659999999999</v>
      </c>
      <c r="D3625" s="409" t="s">
        <v>6284</v>
      </c>
      <c r="E3625" s="409" t="s">
        <v>6285</v>
      </c>
      <c r="F3625" s="409" t="s">
        <v>6286</v>
      </c>
      <c r="G3625" s="409" t="s">
        <v>6287</v>
      </c>
      <c r="H3625" s="465">
        <v>629.66074000000003</v>
      </c>
      <c r="I3625" s="465">
        <v>22.639659999999999</v>
      </c>
      <c r="J3625" s="465">
        <v>78.988799999999998</v>
      </c>
      <c r="K3625" s="465">
        <v>9023.3350900000005</v>
      </c>
      <c r="L3625" s="464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úch.lišta 2,7m oliva</v>
      </c>
      <c r="C3626" s="185">
        <f t="shared" si="113"/>
        <v>28.31259</v>
      </c>
      <c r="D3626" s="409" t="s">
        <v>6288</v>
      </c>
      <c r="E3626" s="409" t="s">
        <v>6289</v>
      </c>
      <c r="F3626" s="409" t="s">
        <v>6290</v>
      </c>
      <c r="G3626" s="409" t="s">
        <v>6291</v>
      </c>
      <c r="H3626" s="465">
        <v>787.43781000000001</v>
      </c>
      <c r="I3626" s="465">
        <v>28.31259</v>
      </c>
      <c r="J3626" s="465">
        <v>97.359819999999999</v>
      </c>
      <c r="K3626" s="465">
        <v>11284.35476</v>
      </c>
      <c r="L3626" s="464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úchytová lišta 2,7m čierna mat</v>
      </c>
      <c r="C3627" s="185">
        <f t="shared" si="113"/>
        <v>29.353490000000001</v>
      </c>
      <c r="D3627" s="409" t="s">
        <v>6292</v>
      </c>
      <c r="E3627" s="409" t="s">
        <v>6293</v>
      </c>
      <c r="F3627" s="409" t="s">
        <v>6294</v>
      </c>
      <c r="G3627" s="409" t="s">
        <v>6295</v>
      </c>
      <c r="H3627" s="465">
        <v>816.38773000000003</v>
      </c>
      <c r="I3627" s="465">
        <v>29.353490000000001</v>
      </c>
      <c r="J3627" s="465">
        <v>102.68340000000001</v>
      </c>
      <c r="K3627" s="465">
        <v>11699.220729999999</v>
      </c>
      <c r="L3627" s="464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úchytová lišta 2,7m čierna mat</v>
      </c>
      <c r="C3628" s="185">
        <f t="shared" si="113"/>
        <v>10.799379999999999</v>
      </c>
      <c r="D3628" s="409" t="s">
        <v>3478</v>
      </c>
      <c r="E3628" s="409" t="s">
        <v>6296</v>
      </c>
      <c r="F3628" s="409" t="s">
        <v>6297</v>
      </c>
      <c r="G3628" s="409" t="s">
        <v>6298</v>
      </c>
      <c r="H3628" s="465">
        <v>300.35543000000001</v>
      </c>
      <c r="I3628" s="465">
        <v>10.799379999999999</v>
      </c>
      <c r="J3628" s="465">
        <v>51.7956</v>
      </c>
      <c r="K3628" s="465">
        <v>4304.2347499999996</v>
      </c>
      <c r="L3628" s="464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úchytová lišta 2,7m biela mat</v>
      </c>
      <c r="C3629" s="185">
        <f t="shared" si="113"/>
        <v>21.598759999999999</v>
      </c>
      <c r="D3629" s="409" t="s">
        <v>6299</v>
      </c>
      <c r="E3629" s="409" t="s">
        <v>6300</v>
      </c>
      <c r="F3629" s="409" t="s">
        <v>6301</v>
      </c>
      <c r="G3629" s="409" t="s">
        <v>6302</v>
      </c>
      <c r="H3629" s="465">
        <v>600.71082000000001</v>
      </c>
      <c r="I3629" s="465">
        <v>21.598759999999999</v>
      </c>
      <c r="J3629" s="465">
        <v>80.416799999999995</v>
      </c>
      <c r="K3629" s="465">
        <v>8608.4691000000003</v>
      </c>
      <c r="L3629" s="464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úchytová lišta 2,7m čierna mat</v>
      </c>
      <c r="C3630" s="185">
        <f t="shared" si="113"/>
        <v>30.472460000000002</v>
      </c>
      <c r="D3630" s="409" t="s">
        <v>6303</v>
      </c>
      <c r="E3630" s="409" t="s">
        <v>6304</v>
      </c>
      <c r="F3630" s="409" t="s">
        <v>6305</v>
      </c>
      <c r="G3630" s="409" t="s">
        <v>6306</v>
      </c>
      <c r="H3630" s="465">
        <v>847.50887999999998</v>
      </c>
      <c r="I3630" s="465">
        <v>30.472460000000002</v>
      </c>
      <c r="J3630" s="465">
        <v>116.8716</v>
      </c>
      <c r="K3630" s="465">
        <v>12145.20156</v>
      </c>
      <c r="L3630" s="464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úchytová lišta 3m čierna mat</v>
      </c>
      <c r="C3631" s="185">
        <f t="shared" si="113"/>
        <v>33.907449999999997</v>
      </c>
      <c r="D3631" s="409" t="s">
        <v>6307</v>
      </c>
      <c r="E3631" s="409" t="s">
        <v>6308</v>
      </c>
      <c r="F3631" s="409" t="s">
        <v>6309</v>
      </c>
      <c r="G3631" s="409" t="s">
        <v>6310</v>
      </c>
      <c r="H3631" s="465">
        <v>943.04360999999994</v>
      </c>
      <c r="I3631" s="465">
        <v>33.907449999999997</v>
      </c>
      <c r="J3631" s="465">
        <v>129.8562</v>
      </c>
      <c r="K3631" s="465">
        <v>13514.2592</v>
      </c>
      <c r="L3631" s="464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/>
      </c>
      <c r="C3632" s="185">
        <f t="shared" si="113"/>
        <v>26.074649999999998</v>
      </c>
      <c r="D3632" s="409" t="s">
        <v>6311</v>
      </c>
      <c r="E3632" s="409" t="s">
        <v>6312</v>
      </c>
      <c r="F3632" s="409" t="s">
        <v>68</v>
      </c>
      <c r="G3632" s="409" t="s">
        <v>6313</v>
      </c>
      <c r="H3632" s="465">
        <v>725.19547</v>
      </c>
      <c r="I3632" s="465">
        <v>26.074649999999998</v>
      </c>
      <c r="J3632" s="465">
        <v>99.888599999999997</v>
      </c>
      <c r="K3632" s="465">
        <v>10392.39273</v>
      </c>
      <c r="L3632" s="464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rámová lišta 2,7m oliva</v>
      </c>
      <c r="C3633" s="185">
        <f t="shared" si="113"/>
        <v>10.61722</v>
      </c>
      <c r="D3633" s="409" t="s">
        <v>6314</v>
      </c>
      <c r="E3633" s="409" t="s">
        <v>6315</v>
      </c>
      <c r="F3633" s="409" t="s">
        <v>6314</v>
      </c>
      <c r="G3633" s="409" t="s">
        <v>6316</v>
      </c>
      <c r="H3633" s="465">
        <v>295.28917999999999</v>
      </c>
      <c r="I3633" s="465">
        <v>10.61722</v>
      </c>
      <c r="J3633" s="465">
        <v>36.509929999999997</v>
      </c>
      <c r="K3633" s="465">
        <v>4231.6330699999999</v>
      </c>
      <c r="L3633" s="464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rámová lišta 2,7m oliva</v>
      </c>
      <c r="C3634" s="185">
        <f t="shared" si="113"/>
        <v>9.3160900000000009</v>
      </c>
      <c r="D3634" s="409" t="s">
        <v>3479</v>
      </c>
      <c r="E3634" s="409" t="s">
        <v>6317</v>
      </c>
      <c r="F3634" s="409" t="s">
        <v>3479</v>
      </c>
      <c r="G3634" s="409" t="s">
        <v>6318</v>
      </c>
      <c r="H3634" s="465">
        <v>259.10178000000002</v>
      </c>
      <c r="I3634" s="465">
        <v>9.3160900000000009</v>
      </c>
      <c r="J3634" s="465">
        <v>32.035670000000003</v>
      </c>
      <c r="K3634" s="465">
        <v>3713.05062</v>
      </c>
      <c r="L3634" s="464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rámová lišta 2,7m čierna mat</v>
      </c>
      <c r="C3635" s="185">
        <f t="shared" si="113"/>
        <v>10.047330000000001</v>
      </c>
      <c r="D3635" s="409" t="s">
        <v>3480</v>
      </c>
      <c r="E3635" s="409" t="s">
        <v>6319</v>
      </c>
      <c r="F3635" s="409" t="s">
        <v>6320</v>
      </c>
      <c r="G3635" s="409" t="s">
        <v>6321</v>
      </c>
      <c r="H3635" s="465">
        <v>279.36673000000002</v>
      </c>
      <c r="I3635" s="465">
        <v>10.047330000000001</v>
      </c>
      <c r="J3635" s="465">
        <v>35.026800000000001</v>
      </c>
      <c r="K3635" s="465">
        <v>4003.45687</v>
      </c>
      <c r="L3635" s="464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úchytová lišta 2,7m čierna mat</v>
      </c>
      <c r="C3636" s="185">
        <f t="shared" si="113"/>
        <v>18.892410000000002</v>
      </c>
      <c r="D3636" s="409" t="s">
        <v>3481</v>
      </c>
      <c r="E3636" s="409" t="s">
        <v>6322</v>
      </c>
      <c r="F3636" s="409" t="s">
        <v>6323</v>
      </c>
      <c r="G3636" s="409" t="s">
        <v>6324</v>
      </c>
      <c r="H3636" s="465">
        <v>525.44104000000004</v>
      </c>
      <c r="I3636" s="465">
        <v>18.892410000000002</v>
      </c>
      <c r="J3636" s="465">
        <v>74.143799999999999</v>
      </c>
      <c r="K3636" s="465">
        <v>7529.8176999999996</v>
      </c>
      <c r="L3636" s="464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úchytová lišta 2,7m zlatá</v>
      </c>
      <c r="C3637" s="185">
        <f t="shared" si="113"/>
        <v>27.297709999999999</v>
      </c>
      <c r="D3637" s="409" t="s">
        <v>3482</v>
      </c>
      <c r="E3637" s="409" t="s">
        <v>6325</v>
      </c>
      <c r="F3637" s="409" t="s">
        <v>3482</v>
      </c>
      <c r="G3637" s="409" t="s">
        <v>6326</v>
      </c>
      <c r="H3637" s="465">
        <v>759.21163000000001</v>
      </c>
      <c r="I3637" s="465">
        <v>27.297709999999999</v>
      </c>
      <c r="J3637" s="465">
        <v>99.97551</v>
      </c>
      <c r="K3637" s="465">
        <v>10879.86037</v>
      </c>
      <c r="L3637" s="464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úchytová lišta 3m strieborná</v>
      </c>
      <c r="C3638" s="185">
        <f t="shared" si="113"/>
        <v>27.479869999999998</v>
      </c>
      <c r="D3638" s="409" t="s">
        <v>3483</v>
      </c>
      <c r="E3638" s="409" t="s">
        <v>6327</v>
      </c>
      <c r="F3638" s="409" t="s">
        <v>6328</v>
      </c>
      <c r="G3638" s="409" t="s">
        <v>6329</v>
      </c>
      <c r="H3638" s="465">
        <v>764.27787999999998</v>
      </c>
      <c r="I3638" s="465">
        <v>27.479869999999998</v>
      </c>
      <c r="J3638" s="465">
        <v>107.99908000000001</v>
      </c>
      <c r="K3638" s="465">
        <v>10952.46205</v>
      </c>
      <c r="L3638" s="464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 úchytová lišta 2,70m oliva</v>
      </c>
      <c r="C3639" s="185">
        <f t="shared" si="113"/>
        <v>9.5763200000000008</v>
      </c>
      <c r="D3639" s="409" t="s">
        <v>3484</v>
      </c>
      <c r="E3639" s="409" t="s">
        <v>6330</v>
      </c>
      <c r="F3639" s="409" t="s">
        <v>3484</v>
      </c>
      <c r="G3639" s="409" t="s">
        <v>6331</v>
      </c>
      <c r="H3639" s="465">
        <v>266.33926000000002</v>
      </c>
      <c r="I3639" s="465">
        <v>9.5763200000000008</v>
      </c>
      <c r="J3639" s="465">
        <v>32.986800000000002</v>
      </c>
      <c r="K3639" s="465">
        <v>3816.7671</v>
      </c>
      <c r="L3639" s="464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/>
      </c>
      <c r="C3640" s="185">
        <f t="shared" si="113"/>
        <v>33.907449999999997</v>
      </c>
      <c r="D3640" s="409" t="s">
        <v>3485</v>
      </c>
      <c r="E3640" s="409" t="s">
        <v>6332</v>
      </c>
      <c r="F3640" s="409" t="s">
        <v>68</v>
      </c>
      <c r="G3640" s="409" t="s">
        <v>6333</v>
      </c>
      <c r="H3640" s="465">
        <v>943.04360999999994</v>
      </c>
      <c r="I3640" s="465">
        <v>33.907449999999997</v>
      </c>
      <c r="J3640" s="465">
        <v>129.8562</v>
      </c>
      <c r="K3640" s="465">
        <v>13514.2592</v>
      </c>
      <c r="L3640" s="464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 Lux III úchytová lišta 3m oliva</v>
      </c>
      <c r="C3641" s="185">
        <f t="shared" si="113"/>
        <v>30.34235</v>
      </c>
      <c r="D3641" s="409" t="s">
        <v>6334</v>
      </c>
      <c r="E3641" s="409" t="s">
        <v>6335</v>
      </c>
      <c r="F3641" s="409" t="s">
        <v>6336</v>
      </c>
      <c r="G3641" s="409" t="s">
        <v>6337</v>
      </c>
      <c r="H3641" s="465">
        <v>843.89016000000004</v>
      </c>
      <c r="I3641" s="465">
        <v>30.34235</v>
      </c>
      <c r="J3641" s="465">
        <v>111.12626</v>
      </c>
      <c r="K3641" s="465">
        <v>12093.343489999999</v>
      </c>
      <c r="L3641" s="464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úchytová lišta 3m zlatá</v>
      </c>
      <c r="C3642" s="185">
        <f t="shared" si="113"/>
        <v>30.34235</v>
      </c>
      <c r="D3642" s="409" t="s">
        <v>3486</v>
      </c>
      <c r="E3642" s="409" t="s">
        <v>6338</v>
      </c>
      <c r="F3642" s="409" t="s">
        <v>3486</v>
      </c>
      <c r="G3642" s="409" t="s">
        <v>6339</v>
      </c>
      <c r="H3642" s="465">
        <v>843.89016000000004</v>
      </c>
      <c r="I3642" s="465">
        <v>30.34235</v>
      </c>
      <c r="J3642" s="465">
        <v>111.12626</v>
      </c>
      <c r="K3642" s="465">
        <v>12093.343489999999</v>
      </c>
      <c r="L3642" s="464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okrasná lišta S10 3m čierna mat</v>
      </c>
      <c r="C3643" s="185">
        <f t="shared" si="113"/>
        <v>4.4316399999999998</v>
      </c>
      <c r="D3643" s="409" t="s">
        <v>3487</v>
      </c>
      <c r="E3643" s="409" t="s">
        <v>6340</v>
      </c>
      <c r="F3643" s="409" t="s">
        <v>6341</v>
      </c>
      <c r="G3643" s="409" t="s">
        <v>6342</v>
      </c>
      <c r="H3643" s="465">
        <v>123.03716</v>
      </c>
      <c r="I3643" s="465">
        <v>4.4316399999999998</v>
      </c>
      <c r="J3643" s="465">
        <v>15.606</v>
      </c>
      <c r="K3643" s="465">
        <v>1763.1804299999999</v>
      </c>
      <c r="L3643" s="464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úchytová lišta 2,7m oliva</v>
      </c>
      <c r="C3644" s="185">
        <f t="shared" si="113"/>
        <v>21.013249999999999</v>
      </c>
      <c r="D3644" s="409" t="s">
        <v>3488</v>
      </c>
      <c r="E3644" s="409" t="s">
        <v>4490</v>
      </c>
      <c r="F3644" s="409" t="s">
        <v>3488</v>
      </c>
      <c r="G3644" s="409" t="s">
        <v>4491</v>
      </c>
      <c r="H3644" s="465">
        <v>584.78836999999999</v>
      </c>
      <c r="I3644" s="465">
        <v>21.013249999999999</v>
      </c>
      <c r="J3644" s="465">
        <v>72.303970000000007</v>
      </c>
      <c r="K3644" s="465">
        <v>8380.2928900000006</v>
      </c>
      <c r="L3644" s="464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profil "U" pre lamino 18mm 3m grafit</v>
      </c>
      <c r="C3645" s="185">
        <f t="shared" si="113"/>
        <v>6.1933800000000003</v>
      </c>
      <c r="D3645" s="409" t="s">
        <v>3495</v>
      </c>
      <c r="E3645" s="409" t="s">
        <v>6343</v>
      </c>
      <c r="F3645" s="409" t="s">
        <v>6344</v>
      </c>
      <c r="G3645" s="409" t="s">
        <v>6345</v>
      </c>
      <c r="H3645" s="465">
        <v>172.25201999999999</v>
      </c>
      <c r="I3645" s="465">
        <v>6.1933800000000003</v>
      </c>
      <c r="J3645" s="465">
        <v>27.009599999999999</v>
      </c>
      <c r="K3645" s="465">
        <v>2468.4526700000001</v>
      </c>
      <c r="L3645" s="464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uholník Mini 17x11mm 1,7m grafit</v>
      </c>
      <c r="C3646" s="185">
        <f t="shared" si="113"/>
        <v>3.17476</v>
      </c>
      <c r="D3646" s="409" t="s">
        <v>3496</v>
      </c>
      <c r="E3646" s="409" t="s">
        <v>6346</v>
      </c>
      <c r="F3646" s="409" t="s">
        <v>6347</v>
      </c>
      <c r="G3646" s="409" t="s">
        <v>6348</v>
      </c>
      <c r="H3646" s="465">
        <v>88.297250000000005</v>
      </c>
      <c r="I3646" s="465">
        <v>3.17476</v>
      </c>
      <c r="J3646" s="465">
        <v>12.2094</v>
      </c>
      <c r="K3646" s="465">
        <v>1265.3411599999999</v>
      </c>
      <c r="L3646" s="464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uholník Mini 17x11mm 2,35m grafit</v>
      </c>
      <c r="C3647" s="185">
        <f t="shared" si="113"/>
        <v>4.3978200000000003</v>
      </c>
      <c r="D3647" s="409" t="s">
        <v>3497</v>
      </c>
      <c r="E3647" s="409" t="s">
        <v>6349</v>
      </c>
      <c r="F3647" s="409" t="s">
        <v>6350</v>
      </c>
      <c r="G3647" s="409" t="s">
        <v>6351</v>
      </c>
      <c r="H3647" s="465">
        <v>122.31341</v>
      </c>
      <c r="I3647" s="465">
        <v>4.3978200000000003</v>
      </c>
      <c r="J3647" s="465">
        <v>16.901399999999999</v>
      </c>
      <c r="K3647" s="465">
        <v>1752.8088</v>
      </c>
      <c r="L3647" s="464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uholník Mini 17x11mm 3m grafit</v>
      </c>
      <c r="C3648" s="185">
        <f t="shared" si="113"/>
        <v>5.6208799999999997</v>
      </c>
      <c r="D3648" s="409" t="s">
        <v>3498</v>
      </c>
      <c r="E3648" s="409" t="s">
        <v>6352</v>
      </c>
      <c r="F3648" s="409" t="s">
        <v>6353</v>
      </c>
      <c r="G3648" s="409" t="s">
        <v>6354</v>
      </c>
      <c r="H3648" s="465">
        <v>156.32956999999999</v>
      </c>
      <c r="I3648" s="465">
        <v>5.6208799999999997</v>
      </c>
      <c r="J3648" s="465">
        <v>21.583200000000001</v>
      </c>
      <c r="K3648" s="465">
        <v>2240.27646</v>
      </c>
      <c r="L3648" s="464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spodná krycia lišta 1,7m 10mm grafit</v>
      </c>
      <c r="C3649" s="185">
        <f t="shared" si="113"/>
        <v>19.048539999999999</v>
      </c>
      <c r="D3649" s="409" t="s">
        <v>3499</v>
      </c>
      <c r="E3649" s="409" t="s">
        <v>6355</v>
      </c>
      <c r="F3649" s="409" t="s">
        <v>6356</v>
      </c>
      <c r="G3649" s="409" t="s">
        <v>6357</v>
      </c>
      <c r="H3649" s="465">
        <v>529.78351999999995</v>
      </c>
      <c r="I3649" s="465">
        <v>19.048539999999999</v>
      </c>
      <c r="J3649" s="465">
        <v>70.369799999999998</v>
      </c>
      <c r="K3649" s="465">
        <v>7592.0473700000002</v>
      </c>
      <c r="L3649" s="464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spod.krycia lišta 2,35m 10mm grafit</v>
      </c>
      <c r="C3650" s="185">
        <f t="shared" si="113"/>
        <v>26.30885</v>
      </c>
      <c r="D3650" s="409" t="s">
        <v>3500</v>
      </c>
      <c r="E3650" s="409" t="s">
        <v>6358</v>
      </c>
      <c r="F3650" s="409" t="s">
        <v>6359</v>
      </c>
      <c r="G3650" s="409" t="s">
        <v>6360</v>
      </c>
      <c r="H3650" s="465">
        <v>731.70920999999998</v>
      </c>
      <c r="I3650" s="465">
        <v>26.30885</v>
      </c>
      <c r="J3650" s="465">
        <v>97.287599999999998</v>
      </c>
      <c r="K3650" s="465">
        <v>10485.73761</v>
      </c>
      <c r="L3650" s="464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spodná krycia lišta 3m 10mm grafit</v>
      </c>
      <c r="C3651" s="185">
        <f t="shared" si="113"/>
        <v>33.67324</v>
      </c>
      <c r="D3651" s="409" t="s">
        <v>3501</v>
      </c>
      <c r="E3651" s="409" t="s">
        <v>6361</v>
      </c>
      <c r="F3651" s="409" t="s">
        <v>6362</v>
      </c>
      <c r="G3651" s="409" t="s">
        <v>6363</v>
      </c>
      <c r="H3651" s="465">
        <v>936.52988000000005</v>
      </c>
      <c r="I3651" s="465">
        <v>33.67324</v>
      </c>
      <c r="J3651" s="465">
        <v>124.22580000000001</v>
      </c>
      <c r="K3651" s="465">
        <v>13420.91432</v>
      </c>
      <c r="L3651" s="464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horná vodiaca lišta 1,7m grafit</v>
      </c>
      <c r="C3652" s="185">
        <f t="shared" ref="C3652:C3715" si="115">IF($A$2=1,H3652,IF($A$2=2,I3652,IF($A$2=3,J3652,IF($A$2=4,K3652,IF($A$2&gt;4,O3652,"zadat jazyk")))))</f>
        <v>10.487109999999999</v>
      </c>
      <c r="D3652" s="409" t="s">
        <v>3502</v>
      </c>
      <c r="E3652" s="409" t="s">
        <v>6364</v>
      </c>
      <c r="F3652" s="409" t="s">
        <v>6365</v>
      </c>
      <c r="G3652" s="409" t="s">
        <v>6366</v>
      </c>
      <c r="H3652" s="465">
        <v>291.67043000000001</v>
      </c>
      <c r="I3652" s="465">
        <v>10.487109999999999</v>
      </c>
      <c r="J3652" s="465">
        <v>59.986199999999997</v>
      </c>
      <c r="K3652" s="465">
        <v>4179.7746299999999</v>
      </c>
      <c r="L3652" s="464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horná vod.lišta 2,35m grafit</v>
      </c>
      <c r="C3653" s="185">
        <f t="shared" si="115"/>
        <v>14.52061</v>
      </c>
      <c r="D3653" s="409" t="s">
        <v>3503</v>
      </c>
      <c r="E3653" s="409" t="s">
        <v>6367</v>
      </c>
      <c r="F3653" s="409" t="s">
        <v>6368</v>
      </c>
      <c r="G3653" s="409" t="s">
        <v>6369</v>
      </c>
      <c r="H3653" s="465">
        <v>403.85138000000001</v>
      </c>
      <c r="I3653" s="465">
        <v>14.52061</v>
      </c>
      <c r="J3653" s="465">
        <v>82.936199999999999</v>
      </c>
      <c r="K3653" s="465">
        <v>5787.3805000000002</v>
      </c>
      <c r="L3653" s="464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horná vodiaca lišta 3m grafit</v>
      </c>
      <c r="C3654" s="185">
        <f t="shared" si="115"/>
        <v>18.528089999999999</v>
      </c>
      <c r="D3654" s="409" t="s">
        <v>3504</v>
      </c>
      <c r="E3654" s="409" t="s">
        <v>6370</v>
      </c>
      <c r="F3654" s="409" t="s">
        <v>6371</v>
      </c>
      <c r="G3654" s="409" t="s">
        <v>6372</v>
      </c>
      <c r="H3654" s="465">
        <v>515.30856000000006</v>
      </c>
      <c r="I3654" s="465">
        <v>18.528089999999999</v>
      </c>
      <c r="J3654" s="465">
        <v>105.8454</v>
      </c>
      <c r="K3654" s="465">
        <v>7384.61438</v>
      </c>
      <c r="L3654" s="464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spojovacia lišta H10 3m grafit</v>
      </c>
      <c r="C3655" s="185">
        <f t="shared" si="115"/>
        <v>15.82174</v>
      </c>
      <c r="D3655" s="409" t="s">
        <v>3505</v>
      </c>
      <c r="E3655" s="409" t="s">
        <v>6373</v>
      </c>
      <c r="F3655" s="409" t="s">
        <v>6374</v>
      </c>
      <c r="G3655" s="409" t="s">
        <v>6375</v>
      </c>
      <c r="H3655" s="465">
        <v>440.03877999999997</v>
      </c>
      <c r="I3655" s="465">
        <v>15.82174</v>
      </c>
      <c r="J3655" s="465">
        <v>67.289400000000001</v>
      </c>
      <c r="K3655" s="465">
        <v>6305.9629800000002</v>
      </c>
      <c r="L3655" s="464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spojovacia lišta H18 3m grafit</v>
      </c>
      <c r="C3656" s="185">
        <f t="shared" si="115"/>
        <v>15.587540000000001</v>
      </c>
      <c r="D3656" s="409" t="s">
        <v>3506</v>
      </c>
      <c r="E3656" s="409" t="s">
        <v>6376</v>
      </c>
      <c r="F3656" s="409" t="s">
        <v>6377</v>
      </c>
      <c r="G3656" s="409" t="s">
        <v>6378</v>
      </c>
      <c r="H3656" s="465">
        <v>433.52503999999999</v>
      </c>
      <c r="I3656" s="465">
        <v>15.587540000000001</v>
      </c>
      <c r="J3656" s="465">
        <v>62.464799999999997</v>
      </c>
      <c r="K3656" s="465">
        <v>6212.6180999999997</v>
      </c>
      <c r="L3656" s="464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úchytová lišta 18mm 2,7m grafit</v>
      </c>
      <c r="C3657" s="185">
        <f t="shared" si="115"/>
        <v>16.446280000000002</v>
      </c>
      <c r="D3657" s="409" t="s">
        <v>3507</v>
      </c>
      <c r="E3657" s="409" t="s">
        <v>6379</v>
      </c>
      <c r="F3657" s="409" t="s">
        <v>3507</v>
      </c>
      <c r="G3657" s="409" t="s">
        <v>6380</v>
      </c>
      <c r="H3657" s="465">
        <v>457.40872000000002</v>
      </c>
      <c r="I3657" s="465">
        <v>16.446280000000002</v>
      </c>
      <c r="J3657" s="465">
        <v>66.463200000000001</v>
      </c>
      <c r="K3657" s="465">
        <v>6554.8824199999999</v>
      </c>
      <c r="L3657" s="464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úch.lišta 2,7m čierna grafit</v>
      </c>
      <c r="C3658" s="185">
        <f t="shared" si="115"/>
        <v>21.598759999999999</v>
      </c>
      <c r="D3658" s="409" t="s">
        <v>3508</v>
      </c>
      <c r="E3658" s="409" t="s">
        <v>6381</v>
      </c>
      <c r="F3658" s="409" t="s">
        <v>6382</v>
      </c>
      <c r="G3658" s="409" t="s">
        <v>6383</v>
      </c>
      <c r="H3658" s="465">
        <v>600.71082000000001</v>
      </c>
      <c r="I3658" s="465">
        <v>21.598759999999999</v>
      </c>
      <c r="J3658" s="465">
        <v>80.416799999999995</v>
      </c>
      <c r="K3658" s="465">
        <v>8608.4691000000003</v>
      </c>
      <c r="L3658" s="464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spodné vedenie 1,7m grafit</v>
      </c>
      <c r="C3659" s="185">
        <f t="shared" si="115"/>
        <v>10.851419999999999</v>
      </c>
      <c r="D3659" s="409" t="s">
        <v>3509</v>
      </c>
      <c r="E3659" s="409" t="s">
        <v>6384</v>
      </c>
      <c r="F3659" s="409" t="s">
        <v>6385</v>
      </c>
      <c r="G3659" s="409" t="s">
        <v>6386</v>
      </c>
      <c r="H3659" s="465">
        <v>301.80291999999997</v>
      </c>
      <c r="I3659" s="465">
        <v>10.851419999999999</v>
      </c>
      <c r="J3659" s="465">
        <v>40.698</v>
      </c>
      <c r="K3659" s="465">
        <v>4324.9779799999997</v>
      </c>
      <c r="L3659" s="464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spodné vedenie 2,35m grafit</v>
      </c>
      <c r="C3660" s="185">
        <f t="shared" si="115"/>
        <v>14.91095</v>
      </c>
      <c r="D3660" s="409" t="s">
        <v>3510</v>
      </c>
      <c r="E3660" s="409" t="s">
        <v>6387</v>
      </c>
      <c r="F3660" s="409" t="s">
        <v>6388</v>
      </c>
      <c r="G3660" s="409" t="s">
        <v>6389</v>
      </c>
      <c r="H3660" s="465">
        <v>414.70758000000001</v>
      </c>
      <c r="I3660" s="465">
        <v>14.91095</v>
      </c>
      <c r="J3660" s="465">
        <v>56.242800000000003</v>
      </c>
      <c r="K3660" s="465">
        <v>5942.9550600000002</v>
      </c>
      <c r="L3660" s="464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spodné vedenie 3m grafit</v>
      </c>
      <c r="C3661" s="185">
        <f t="shared" si="115"/>
        <v>18.94445</v>
      </c>
      <c r="D3661" s="409" t="s">
        <v>3511</v>
      </c>
      <c r="E3661" s="409" t="s">
        <v>6390</v>
      </c>
      <c r="F3661" s="409" t="s">
        <v>6391</v>
      </c>
      <c r="G3661" s="409" t="s">
        <v>6392</v>
      </c>
      <c r="H3661" s="465">
        <v>526.88854000000003</v>
      </c>
      <c r="I3661" s="465">
        <v>18.94445</v>
      </c>
      <c r="J3661" s="465">
        <v>71.808000000000007</v>
      </c>
      <c r="K3661" s="465">
        <v>7550.5609299999996</v>
      </c>
      <c r="L3661" s="464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spodné vedenie 4,05m grafit</v>
      </c>
      <c r="C3662" s="185">
        <f t="shared" si="115"/>
        <v>25.658280000000001</v>
      </c>
      <c r="D3662" s="409" t="s">
        <v>3512</v>
      </c>
      <c r="E3662" s="409" t="s">
        <v>6393</v>
      </c>
      <c r="F3662" s="409" t="s">
        <v>6394</v>
      </c>
      <c r="G3662" s="409" t="s">
        <v>6395</v>
      </c>
      <c r="H3662" s="465">
        <v>713.61551999999995</v>
      </c>
      <c r="I3662" s="465">
        <v>25.658280000000001</v>
      </c>
      <c r="J3662" s="465">
        <v>96.930599999999998</v>
      </c>
      <c r="K3662" s="465">
        <v>10226.44657</v>
      </c>
      <c r="L3662" s="464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spodné vedenie 6m grafit</v>
      </c>
      <c r="C3663" s="185">
        <f t="shared" si="115"/>
        <v>37.914929999999998</v>
      </c>
      <c r="D3663" s="409" t="s">
        <v>3513</v>
      </c>
      <c r="E3663" s="409" t="s">
        <v>6396</v>
      </c>
      <c r="F3663" s="409" t="s">
        <v>6397</v>
      </c>
      <c r="G3663" s="409" t="s">
        <v>6398</v>
      </c>
      <c r="H3663" s="465">
        <v>1054.50082</v>
      </c>
      <c r="I3663" s="465">
        <v>37.914929999999998</v>
      </c>
      <c r="J3663" s="465">
        <v>143.60579999999999</v>
      </c>
      <c r="K3663" s="465">
        <v>15111.493469999999</v>
      </c>
      <c r="L3663" s="464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horné vedenie 1,7m grafit</v>
      </c>
      <c r="C3664" s="185">
        <f t="shared" si="115"/>
        <v>18.39798</v>
      </c>
      <c r="D3664" s="409" t="s">
        <v>3514</v>
      </c>
      <c r="E3664" s="409" t="s">
        <v>6399</v>
      </c>
      <c r="F3664" s="409" t="s">
        <v>6400</v>
      </c>
      <c r="G3664" s="409" t="s">
        <v>6401</v>
      </c>
      <c r="H3664" s="465">
        <v>511.68982999999997</v>
      </c>
      <c r="I3664" s="465">
        <v>18.39798</v>
      </c>
      <c r="J3664" s="465">
        <v>74.653800000000004</v>
      </c>
      <c r="K3664" s="465">
        <v>7332.7563300000002</v>
      </c>
      <c r="L3664" s="464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horné vedenie 2,35m grafit</v>
      </c>
      <c r="C3665" s="185">
        <f t="shared" si="115"/>
        <v>25.450099999999999</v>
      </c>
      <c r="D3665" s="409" t="s">
        <v>3515</v>
      </c>
      <c r="E3665" s="409" t="s">
        <v>6402</v>
      </c>
      <c r="F3665" s="409" t="s">
        <v>6403</v>
      </c>
      <c r="G3665" s="409" t="s">
        <v>6404</v>
      </c>
      <c r="H3665" s="465">
        <v>707.82552999999996</v>
      </c>
      <c r="I3665" s="465">
        <v>25.450099999999999</v>
      </c>
      <c r="J3665" s="465">
        <v>103.20359999999999</v>
      </c>
      <c r="K3665" s="465">
        <v>10143.473319999999</v>
      </c>
      <c r="L3665" s="464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horné vedenie 3m grafit</v>
      </c>
      <c r="C3666" s="185">
        <f t="shared" si="115"/>
        <v>32.476199999999999</v>
      </c>
      <c r="D3666" s="409" t="s">
        <v>3516</v>
      </c>
      <c r="E3666" s="409" t="s">
        <v>6405</v>
      </c>
      <c r="F3666" s="409" t="s">
        <v>6406</v>
      </c>
      <c r="G3666" s="409" t="s">
        <v>6407</v>
      </c>
      <c r="H3666" s="465">
        <v>903.23748000000001</v>
      </c>
      <c r="I3666" s="465">
        <v>32.476199999999999</v>
      </c>
      <c r="J3666" s="465">
        <v>131.79419999999999</v>
      </c>
      <c r="K3666" s="465">
        <v>12943.81868</v>
      </c>
      <c r="L3666" s="464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horné vedenie  4,05m grafit</v>
      </c>
      <c r="C3667" s="185">
        <f t="shared" si="115"/>
        <v>43.842869999999998</v>
      </c>
      <c r="D3667" s="409" t="s">
        <v>3517</v>
      </c>
      <c r="E3667" s="409" t="s">
        <v>6408</v>
      </c>
      <c r="F3667" s="409" t="s">
        <v>6409</v>
      </c>
      <c r="G3667" s="409" t="s">
        <v>6410</v>
      </c>
      <c r="H3667" s="465">
        <v>1219.5153600000001</v>
      </c>
      <c r="I3667" s="465">
        <v>43.842869999999998</v>
      </c>
      <c r="J3667" s="465">
        <v>177.9186</v>
      </c>
      <c r="K3667" s="465">
        <v>17476.229630000002</v>
      </c>
      <c r="L3667" s="464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horné vedenie 6m grafit</v>
      </c>
      <c r="C3668" s="185">
        <f t="shared" si="115"/>
        <v>64.95241</v>
      </c>
      <c r="D3668" s="409" t="s">
        <v>3518</v>
      </c>
      <c r="E3668" s="409" t="s">
        <v>6411</v>
      </c>
      <c r="F3668" s="409" t="s">
        <v>6412</v>
      </c>
      <c r="G3668" s="409" t="s">
        <v>6413</v>
      </c>
      <c r="H3668" s="465">
        <v>1806.47497</v>
      </c>
      <c r="I3668" s="465">
        <v>64.95241</v>
      </c>
      <c r="J3668" s="465">
        <v>263.56799999999998</v>
      </c>
      <c r="K3668" s="465">
        <v>25887.637350000001</v>
      </c>
      <c r="L3668" s="464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maska Elegant II 1,7m grafit</v>
      </c>
      <c r="C3669" s="185">
        <f t="shared" si="115"/>
        <v>3.3308900000000001</v>
      </c>
      <c r="D3669" s="409" t="s">
        <v>3519</v>
      </c>
      <c r="E3669" s="409" t="s">
        <v>6414</v>
      </c>
      <c r="F3669" s="409" t="s">
        <v>3519</v>
      </c>
      <c r="G3669" s="409" t="s">
        <v>6415</v>
      </c>
      <c r="H3669" s="465">
        <v>92.639750000000006</v>
      </c>
      <c r="I3669" s="465">
        <v>3.3308900000000001</v>
      </c>
      <c r="J3669" s="465">
        <v>12.199199999999999</v>
      </c>
      <c r="K3669" s="465">
        <v>1327.57123</v>
      </c>
      <c r="L3669" s="464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maska Elegant II 2,35m grafit</v>
      </c>
      <c r="C3670" s="185">
        <f t="shared" si="115"/>
        <v>4.6059999999999999</v>
      </c>
      <c r="D3670" s="409" t="s">
        <v>3520</v>
      </c>
      <c r="E3670" s="409" t="s">
        <v>6416</v>
      </c>
      <c r="F3670" s="409" t="s">
        <v>3520</v>
      </c>
      <c r="G3670" s="409" t="s">
        <v>6417</v>
      </c>
      <c r="H3670" s="465">
        <v>128.10339999999999</v>
      </c>
      <c r="I3670" s="465">
        <v>4.6059999999999999</v>
      </c>
      <c r="J3670" s="465">
        <v>16.870799999999999</v>
      </c>
      <c r="K3670" s="465">
        <v>1835.78208</v>
      </c>
      <c r="L3670" s="464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maska Elegant II 3m grafit</v>
      </c>
      <c r="C3671" s="185">
        <f t="shared" si="115"/>
        <v>5.8811099999999996</v>
      </c>
      <c r="D3671" s="409" t="s">
        <v>3521</v>
      </c>
      <c r="E3671" s="409" t="s">
        <v>6418</v>
      </c>
      <c r="F3671" s="409" t="s">
        <v>3521</v>
      </c>
      <c r="G3671" s="409" t="s">
        <v>6419</v>
      </c>
      <c r="H3671" s="465">
        <v>163.56704999999999</v>
      </c>
      <c r="I3671" s="465">
        <v>5.8811099999999996</v>
      </c>
      <c r="J3671" s="465">
        <v>21.542400000000001</v>
      </c>
      <c r="K3671" s="465">
        <v>2343.9929499999998</v>
      </c>
      <c r="L3671" s="464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maska Elegant II 4,05m grafit</v>
      </c>
      <c r="C3672" s="185">
        <f t="shared" si="115"/>
        <v>7.93689</v>
      </c>
      <c r="D3672" s="409" t="s">
        <v>3522</v>
      </c>
      <c r="E3672" s="409" t="s">
        <v>6420</v>
      </c>
      <c r="F3672" s="409" t="s">
        <v>3522</v>
      </c>
      <c r="G3672" s="409" t="s">
        <v>6421</v>
      </c>
      <c r="H3672" s="465">
        <v>220.74315000000001</v>
      </c>
      <c r="I3672" s="465">
        <v>7.93689</v>
      </c>
      <c r="J3672" s="465">
        <v>29.07</v>
      </c>
      <c r="K3672" s="465">
        <v>3163.3533000000002</v>
      </c>
      <c r="L3672" s="464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maska Elegant II 6m grafit</v>
      </c>
      <c r="C3673" s="185">
        <f t="shared" si="115"/>
        <v>11.762219999999999</v>
      </c>
      <c r="D3673" s="409" t="s">
        <v>3523</v>
      </c>
      <c r="E3673" s="409" t="s">
        <v>6422</v>
      </c>
      <c r="F3673" s="409" t="s">
        <v>3523</v>
      </c>
      <c r="G3673" s="409" t="s">
        <v>6423</v>
      </c>
      <c r="H3673" s="465">
        <v>327.13407999999998</v>
      </c>
      <c r="I3673" s="465">
        <v>11.762219999999999</v>
      </c>
      <c r="J3673" s="465">
        <v>43.084800000000001</v>
      </c>
      <c r="K3673" s="465">
        <v>4687.9854999999998</v>
      </c>
      <c r="L3673" s="464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úchytová lišta 2,7m oliva</v>
      </c>
      <c r="C3674" s="185">
        <f t="shared" si="115"/>
        <v>26.803280000000001</v>
      </c>
      <c r="D3674" s="409" t="s">
        <v>6273</v>
      </c>
      <c r="E3674" s="409" t="s">
        <v>6274</v>
      </c>
      <c r="F3674" s="409" t="s">
        <v>6273</v>
      </c>
      <c r="G3674" s="409" t="s">
        <v>6275</v>
      </c>
      <c r="H3674" s="465">
        <v>745.46042</v>
      </c>
      <c r="I3674" s="465">
        <v>26.803280000000001</v>
      </c>
      <c r="J3674" s="465">
        <v>92.169669999999996</v>
      </c>
      <c r="K3674" s="465">
        <v>10682.799000000001</v>
      </c>
      <c r="L3674" s="464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úchytová lišta 2,7m oliva</v>
      </c>
      <c r="C3675" s="185">
        <f t="shared" si="115"/>
        <v>29.769850000000002</v>
      </c>
      <c r="D3675" s="409" t="s">
        <v>6269</v>
      </c>
      <c r="E3675" s="409" t="s">
        <v>6270</v>
      </c>
      <c r="F3675" s="409" t="s">
        <v>6271</v>
      </c>
      <c r="G3675" s="409" t="s">
        <v>6272</v>
      </c>
      <c r="H3675" s="465">
        <v>827.96767999999997</v>
      </c>
      <c r="I3675" s="465">
        <v>29.769850000000002</v>
      </c>
      <c r="J3675" s="465">
        <v>102.37097</v>
      </c>
      <c r="K3675" s="465">
        <v>11865.16689</v>
      </c>
      <c r="L3675" s="464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úchytová lišta 2,7m strieborn</v>
      </c>
      <c r="C3676" s="185">
        <f t="shared" si="115"/>
        <v>21.442620000000002</v>
      </c>
      <c r="D3676" s="409" t="s">
        <v>6261</v>
      </c>
      <c r="E3676" s="409" t="s">
        <v>6262</v>
      </c>
      <c r="F3676" s="409" t="s">
        <v>6263</v>
      </c>
      <c r="G3676" s="409" t="s">
        <v>6264</v>
      </c>
      <c r="H3676" s="465">
        <v>596.36832000000004</v>
      </c>
      <c r="I3676" s="465">
        <v>21.442620000000002</v>
      </c>
      <c r="J3676" s="465">
        <v>78.988799999999998</v>
      </c>
      <c r="K3676" s="465">
        <v>8546.2390500000001</v>
      </c>
      <c r="L3676" s="464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úchytová lišta 3m strieborn</v>
      </c>
      <c r="C3677" s="185">
        <f t="shared" si="115"/>
        <v>23.810680000000001</v>
      </c>
      <c r="D3677" s="409" t="s">
        <v>6265</v>
      </c>
      <c r="E3677" s="409" t="s">
        <v>6266</v>
      </c>
      <c r="F3677" s="409" t="s">
        <v>6267</v>
      </c>
      <c r="G3677" s="409" t="s">
        <v>6268</v>
      </c>
      <c r="H3677" s="465">
        <v>662.22942</v>
      </c>
      <c r="I3677" s="465">
        <v>23.810680000000001</v>
      </c>
      <c r="J3677" s="465">
        <v>87.771000000000001</v>
      </c>
      <c r="K3677" s="465">
        <v>9490.0595200000007</v>
      </c>
      <c r="L3677" s="464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úch lišta 2 7m oliva</v>
      </c>
      <c r="C3678" s="185">
        <f t="shared" si="115"/>
        <v>28.31259</v>
      </c>
      <c r="D3678" s="409" t="s">
        <v>6280</v>
      </c>
      <c r="E3678" s="409" t="s">
        <v>6281</v>
      </c>
      <c r="F3678" s="409" t="s">
        <v>6282</v>
      </c>
      <c r="G3678" s="409" t="s">
        <v>6283</v>
      </c>
      <c r="H3678" s="465">
        <v>787.43781000000001</v>
      </c>
      <c r="I3678" s="465">
        <v>28.31259</v>
      </c>
      <c r="J3678" s="465">
        <v>97.359819999999999</v>
      </c>
      <c r="K3678" s="465">
        <v>11284.35476</v>
      </c>
      <c r="L3678" s="464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úch.lišta 2,7m strieborná</v>
      </c>
      <c r="C3679" s="185">
        <f t="shared" si="115"/>
        <v>22.639659999999999</v>
      </c>
      <c r="D3679" s="409" t="s">
        <v>6276</v>
      </c>
      <c r="E3679" s="409" t="s">
        <v>6277</v>
      </c>
      <c r="F3679" s="409" t="s">
        <v>6278</v>
      </c>
      <c r="G3679" s="409" t="s">
        <v>6279</v>
      </c>
      <c r="H3679" s="465">
        <v>629.66074000000003</v>
      </c>
      <c r="I3679" s="465">
        <v>22.639659999999999</v>
      </c>
      <c r="J3679" s="465">
        <v>78.988799999999998</v>
      </c>
      <c r="K3679" s="465">
        <v>9023.3350900000005</v>
      </c>
      <c r="L3679" s="464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úch.lišta 2,7m oliva</v>
      </c>
      <c r="C3680" s="185">
        <f t="shared" si="115"/>
        <v>28.31259</v>
      </c>
      <c r="D3680" s="409" t="s">
        <v>6288</v>
      </c>
      <c r="E3680" s="409" t="s">
        <v>6289</v>
      </c>
      <c r="F3680" s="409" t="s">
        <v>6290</v>
      </c>
      <c r="G3680" s="409" t="s">
        <v>6291</v>
      </c>
      <c r="H3680" s="465">
        <v>787.43781000000001</v>
      </c>
      <c r="I3680" s="465">
        <v>28.31259</v>
      </c>
      <c r="J3680" s="465">
        <v>97.359819999999999</v>
      </c>
      <c r="K3680" s="465">
        <v>11284.35476</v>
      </c>
      <c r="L3680" s="464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úchytová lišta 2,7m čierna mat</v>
      </c>
      <c r="C3681" s="185">
        <f t="shared" si="115"/>
        <v>29.353490000000001</v>
      </c>
      <c r="D3681" s="409" t="s">
        <v>6292</v>
      </c>
      <c r="E3681" s="409" t="s">
        <v>6293</v>
      </c>
      <c r="F3681" s="409" t="s">
        <v>6294</v>
      </c>
      <c r="G3681" s="409" t="s">
        <v>6295</v>
      </c>
      <c r="H3681" s="465">
        <v>816.38773000000003</v>
      </c>
      <c r="I3681" s="465">
        <v>29.353490000000001</v>
      </c>
      <c r="J3681" s="465">
        <v>102.68340000000001</v>
      </c>
      <c r="K3681" s="465">
        <v>11699.220729999999</v>
      </c>
      <c r="L3681" s="464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úch.lišta 2,7m strieborná</v>
      </c>
      <c r="C3682" s="185">
        <f t="shared" si="115"/>
        <v>22.639659999999999</v>
      </c>
      <c r="D3682" s="409" t="s">
        <v>6284</v>
      </c>
      <c r="E3682" s="409" t="s">
        <v>6285</v>
      </c>
      <c r="F3682" s="409" t="s">
        <v>6286</v>
      </c>
      <c r="G3682" s="409" t="s">
        <v>6287</v>
      </c>
      <c r="H3682" s="465">
        <v>629.66074000000003</v>
      </c>
      <c r="I3682" s="465">
        <v>22.639659999999999</v>
      </c>
      <c r="J3682" s="465">
        <v>78.988799999999998</v>
      </c>
      <c r="K3682" s="465">
        <v>9023.3350900000005</v>
      </c>
      <c r="L3682" s="464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spodná krycia lišta 1,7m 18mm oliva</v>
      </c>
      <c r="C3683" s="185">
        <f t="shared" si="115"/>
        <v>25.580220000000001</v>
      </c>
      <c r="D3683" s="409" t="s">
        <v>3525</v>
      </c>
      <c r="E3683" s="409" t="s">
        <v>6424</v>
      </c>
      <c r="F3683" s="409" t="s">
        <v>6425</v>
      </c>
      <c r="G3683" s="409" t="s">
        <v>6426</v>
      </c>
      <c r="H3683" s="465">
        <v>711.44425999999999</v>
      </c>
      <c r="I3683" s="465">
        <v>25.580220000000001</v>
      </c>
      <c r="J3683" s="465">
        <v>87.963880000000003</v>
      </c>
      <c r="K3683" s="465">
        <v>10195.33136</v>
      </c>
      <c r="L3683" s="464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05913 GM 18 spodná krycí lišta 2,35m 18mm</v>
      </c>
      <c r="C3684" s="185">
        <f t="shared" si="115"/>
        <v>35.33869</v>
      </c>
      <c r="D3684" s="409" t="s">
        <v>6427</v>
      </c>
      <c r="E3684" s="409" t="s">
        <v>6428</v>
      </c>
      <c r="F3684" s="409" t="s">
        <v>6429</v>
      </c>
      <c r="G3684" s="409" t="s">
        <v>6430</v>
      </c>
      <c r="H3684" s="465">
        <v>982.84975999999995</v>
      </c>
      <c r="I3684" s="465">
        <v>35.33869</v>
      </c>
      <c r="J3684" s="465">
        <v>121.52079000000001</v>
      </c>
      <c r="K3684" s="465">
        <v>14084.70012</v>
      </c>
      <c r="L3684" s="464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spodná krycia lišta 3m 18mm oliva</v>
      </c>
      <c r="C3685" s="185">
        <f t="shared" si="115"/>
        <v>45.123190000000001</v>
      </c>
      <c r="D3685" s="409" t="s">
        <v>3526</v>
      </c>
      <c r="E3685" s="409" t="s">
        <v>6431</v>
      </c>
      <c r="F3685" s="409" t="s">
        <v>6432</v>
      </c>
      <c r="G3685" s="409" t="s">
        <v>6433</v>
      </c>
      <c r="H3685" s="465">
        <v>1254.9789900000001</v>
      </c>
      <c r="I3685" s="465">
        <v>45.123190000000001</v>
      </c>
      <c r="J3685" s="465">
        <v>155.16721000000001</v>
      </c>
      <c r="K3685" s="465">
        <v>17984.4401</v>
      </c>
      <c r="L3685" s="464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spodná krycia lišta 1,7m 18mm čierna mat</v>
      </c>
      <c r="C3686" s="185">
        <f t="shared" si="115"/>
        <v>27.479869999999998</v>
      </c>
      <c r="D3686" s="409" t="s">
        <v>6434</v>
      </c>
      <c r="E3686" s="409" t="s">
        <v>6435</v>
      </c>
      <c r="F3686" s="409" t="s">
        <v>6436</v>
      </c>
      <c r="G3686" s="409" t="s">
        <v>6437</v>
      </c>
      <c r="H3686" s="465">
        <v>764.27787999999998</v>
      </c>
      <c r="I3686" s="465">
        <v>27.479869999999998</v>
      </c>
      <c r="J3686" s="465">
        <v>94.496290000000002</v>
      </c>
      <c r="K3686" s="465">
        <v>10952.46205</v>
      </c>
      <c r="L3686" s="464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spodná krycí lišta 2,35m 18mm čierna mat</v>
      </c>
      <c r="C3687" s="185">
        <f t="shared" si="115"/>
        <v>37.966970000000003</v>
      </c>
      <c r="D3687" s="409" t="s">
        <v>3527</v>
      </c>
      <c r="E3687" s="409" t="s">
        <v>6438</v>
      </c>
      <c r="F3687" s="409" t="s">
        <v>6439</v>
      </c>
      <c r="G3687" s="409" t="s">
        <v>6440</v>
      </c>
      <c r="H3687" s="465">
        <v>1055.94831</v>
      </c>
      <c r="I3687" s="465">
        <v>37.966970000000003</v>
      </c>
      <c r="J3687" s="465">
        <v>130.55878999999999</v>
      </c>
      <c r="K3687" s="465">
        <v>15132.23668</v>
      </c>
      <c r="L3687" s="464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spodná krycia lišta 3m 18mm čierna mat</v>
      </c>
      <c r="C3688" s="185">
        <f t="shared" si="115"/>
        <v>48.4801</v>
      </c>
      <c r="D3688" s="409" t="s">
        <v>3528</v>
      </c>
      <c r="E3688" s="409" t="s">
        <v>6441</v>
      </c>
      <c r="F3688" s="409" t="s">
        <v>6442</v>
      </c>
      <c r="G3688" s="409" t="s">
        <v>6443</v>
      </c>
      <c r="H3688" s="465">
        <v>1348.34248</v>
      </c>
      <c r="I3688" s="465">
        <v>48.4801</v>
      </c>
      <c r="J3688" s="465">
        <v>166.71079</v>
      </c>
      <c r="K3688" s="465">
        <v>19322.38294</v>
      </c>
      <c r="L3688" s="464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spodná krycia lišta 1,7m 18mm strieborná</v>
      </c>
      <c r="C3689" s="185">
        <f t="shared" si="115"/>
        <v>21.13035</v>
      </c>
      <c r="D3689" s="409" t="s">
        <v>6444</v>
      </c>
      <c r="E3689" s="409" t="s">
        <v>6445</v>
      </c>
      <c r="F3689" s="409" t="s">
        <v>6446</v>
      </c>
      <c r="G3689" s="409" t="s">
        <v>6447</v>
      </c>
      <c r="H3689" s="465">
        <v>587.68335000000002</v>
      </c>
      <c r="I3689" s="465">
        <v>21.13035</v>
      </c>
      <c r="J3689" s="465">
        <v>72.661929999999998</v>
      </c>
      <c r="K3689" s="465">
        <v>8421.7793299999994</v>
      </c>
      <c r="L3689" s="464" t="s">
        <v>538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spod.krycia lišta 2,35m 18mm strieborná</v>
      </c>
      <c r="C3690" s="185">
        <f t="shared" si="115"/>
        <v>29.19736</v>
      </c>
      <c r="D3690" s="409" t="s">
        <v>6448</v>
      </c>
      <c r="E3690" s="409" t="s">
        <v>6449</v>
      </c>
      <c r="F3690" s="409" t="s">
        <v>6450</v>
      </c>
      <c r="G3690" s="409" t="s">
        <v>6451</v>
      </c>
      <c r="H3690" s="465">
        <v>812.04522999999995</v>
      </c>
      <c r="I3690" s="465">
        <v>29.19736</v>
      </c>
      <c r="J3690" s="465">
        <v>100.40231</v>
      </c>
      <c r="K3690" s="465">
        <v>11636.990680000001</v>
      </c>
      <c r="L3690" s="464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spod.krycia lišta 3m 18mm strieborná</v>
      </c>
      <c r="C3691" s="185">
        <f t="shared" si="115"/>
        <v>37.290390000000002</v>
      </c>
      <c r="D3691" s="409" t="s">
        <v>6452</v>
      </c>
      <c r="E3691" s="409" t="s">
        <v>6453</v>
      </c>
      <c r="F3691" s="409" t="s">
        <v>6454</v>
      </c>
      <c r="G3691" s="409" t="s">
        <v>6455</v>
      </c>
      <c r="H3691" s="465">
        <v>1037.13085</v>
      </c>
      <c r="I3691" s="465">
        <v>37.290390000000002</v>
      </c>
      <c r="J3691" s="465">
        <v>128.23218</v>
      </c>
      <c r="K3691" s="465">
        <v>14862.573640000001</v>
      </c>
      <c r="L3691" s="464" t="s">
        <v>538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vodiaca lišta 1,7m oliva</v>
      </c>
      <c r="C3692" s="185">
        <f t="shared" si="115"/>
        <v>17.669350000000001</v>
      </c>
      <c r="D3692" s="409" t="s">
        <v>3529</v>
      </c>
      <c r="E3692" s="409" t="s">
        <v>6456</v>
      </c>
      <c r="F3692" s="409" t="s">
        <v>6457</v>
      </c>
      <c r="G3692" s="409" t="s">
        <v>6458</v>
      </c>
      <c r="H3692" s="465">
        <v>491.42487999999997</v>
      </c>
      <c r="I3692" s="465">
        <v>17.669350000000001</v>
      </c>
      <c r="J3692" s="465">
        <v>60.760399999999997</v>
      </c>
      <c r="K3692" s="465">
        <v>7042.3500599999998</v>
      </c>
      <c r="L3692" s="464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vodiaca lišta 2,35m oliva</v>
      </c>
      <c r="C3693" s="185">
        <f t="shared" si="115"/>
        <v>24.383179999999999</v>
      </c>
      <c r="D3693" s="409" t="s">
        <v>3530</v>
      </c>
      <c r="E3693" s="409" t="s">
        <v>6459</v>
      </c>
      <c r="F3693" s="409" t="s">
        <v>6460</v>
      </c>
      <c r="G3693" s="409" t="s">
        <v>6461</v>
      </c>
      <c r="H3693" s="465">
        <v>678.15187000000003</v>
      </c>
      <c r="I3693" s="465">
        <v>24.383179999999999</v>
      </c>
      <c r="J3693" s="465">
        <v>83.847549999999998</v>
      </c>
      <c r="K3693" s="465">
        <v>9718.2357200000006</v>
      </c>
      <c r="L3693" s="464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vodiaca lišta 3m oliva</v>
      </c>
      <c r="C3694" s="185">
        <f t="shared" si="115"/>
        <v>31.149049999999999</v>
      </c>
      <c r="D3694" s="409" t="s">
        <v>6462</v>
      </c>
      <c r="E3694" s="409" t="s">
        <v>6463</v>
      </c>
      <c r="F3694" s="409" t="s">
        <v>6464</v>
      </c>
      <c r="G3694" s="409" t="s">
        <v>6465</v>
      </c>
      <c r="H3694" s="465">
        <v>866.32633999999996</v>
      </c>
      <c r="I3694" s="465">
        <v>31.149049999999999</v>
      </c>
      <c r="J3694" s="465">
        <v>107.11369999999999</v>
      </c>
      <c r="K3694" s="465">
        <v>12414.864600000001</v>
      </c>
      <c r="L3694" s="464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vodiaca lišta 1,7m čierna mat</v>
      </c>
      <c r="C3695" s="185">
        <f t="shared" si="115"/>
        <v>17.955590000000001</v>
      </c>
      <c r="D3695" s="409" t="s">
        <v>3531</v>
      </c>
      <c r="E3695" s="409" t="s">
        <v>6466</v>
      </c>
      <c r="F3695" s="409" t="s">
        <v>6467</v>
      </c>
      <c r="G3695" s="409" t="s">
        <v>6468</v>
      </c>
      <c r="H3695" s="465">
        <v>499.38610999999997</v>
      </c>
      <c r="I3695" s="465">
        <v>17.955590000000001</v>
      </c>
      <c r="J3695" s="465">
        <v>62.791200000000003</v>
      </c>
      <c r="K3695" s="465">
        <v>7156.4381700000004</v>
      </c>
      <c r="L3695" s="464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vodiaca lišta 2,35m čierna mat</v>
      </c>
      <c r="C3696" s="185">
        <f t="shared" si="115"/>
        <v>24.825559999999999</v>
      </c>
      <c r="D3696" s="409" t="s">
        <v>3532</v>
      </c>
      <c r="E3696" s="409" t="s">
        <v>6469</v>
      </c>
      <c r="F3696" s="409" t="s">
        <v>6470</v>
      </c>
      <c r="G3696" s="409" t="s">
        <v>6471</v>
      </c>
      <c r="H3696" s="465">
        <v>690.45555999999999</v>
      </c>
      <c r="I3696" s="465">
        <v>24.825559999999999</v>
      </c>
      <c r="J3696" s="465">
        <v>86.802000000000007</v>
      </c>
      <c r="K3696" s="465">
        <v>9894.5534900000002</v>
      </c>
      <c r="L3696" s="464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vodiaca lišta 3m čierna mat</v>
      </c>
      <c r="C3697" s="185">
        <f t="shared" si="115"/>
        <v>31.695530000000002</v>
      </c>
      <c r="D3697" s="409" t="s">
        <v>3533</v>
      </c>
      <c r="E3697" s="409" t="s">
        <v>6472</v>
      </c>
      <c r="F3697" s="409" t="s">
        <v>6473</v>
      </c>
      <c r="G3697" s="409" t="s">
        <v>6474</v>
      </c>
      <c r="H3697" s="465">
        <v>881.52504999999996</v>
      </c>
      <c r="I3697" s="465">
        <v>31.695530000000002</v>
      </c>
      <c r="J3697" s="465">
        <v>110.8026</v>
      </c>
      <c r="K3697" s="465">
        <v>12632.6692</v>
      </c>
      <c r="L3697" s="464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vodiaca lišta 1,7m strieborná</v>
      </c>
      <c r="C3698" s="185">
        <f t="shared" si="115"/>
        <v>14.59868</v>
      </c>
      <c r="D3698" s="409" t="s">
        <v>6475</v>
      </c>
      <c r="E3698" s="409" t="s">
        <v>6476</v>
      </c>
      <c r="F3698" s="409" t="s">
        <v>6477</v>
      </c>
      <c r="G3698" s="409" t="s">
        <v>6478</v>
      </c>
      <c r="H3698" s="465">
        <v>406.02260999999999</v>
      </c>
      <c r="I3698" s="465">
        <v>14.59868</v>
      </c>
      <c r="J3698" s="465">
        <v>50.201149999999998</v>
      </c>
      <c r="K3698" s="465">
        <v>5818.4953400000004</v>
      </c>
      <c r="L3698" s="464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vod. Lišta 2,35m strieborná</v>
      </c>
      <c r="C3699" s="185">
        <f t="shared" si="115"/>
        <v>20.141490000000001</v>
      </c>
      <c r="D3699" s="409" t="s">
        <v>6479</v>
      </c>
      <c r="E3699" s="409" t="s">
        <v>6480</v>
      </c>
      <c r="F3699" s="409" t="s">
        <v>6481</v>
      </c>
      <c r="G3699" s="409" t="s">
        <v>6482</v>
      </c>
      <c r="H3699" s="465">
        <v>560.18092999999999</v>
      </c>
      <c r="I3699" s="465">
        <v>20.141490000000001</v>
      </c>
      <c r="J3699" s="465">
        <v>69.261480000000006</v>
      </c>
      <c r="K3699" s="465">
        <v>8027.6565700000001</v>
      </c>
      <c r="L3699" s="464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VOD.LIŠTA 3 M STRIEBORNA</v>
      </c>
      <c r="C3700" s="185">
        <f t="shared" si="115"/>
        <v>25.710329999999999</v>
      </c>
      <c r="D3700" s="409" t="s">
        <v>6483</v>
      </c>
      <c r="E3700" s="409" t="s">
        <v>6484</v>
      </c>
      <c r="F3700" s="409" t="s">
        <v>6485</v>
      </c>
      <c r="G3700" s="409" t="s">
        <v>6486</v>
      </c>
      <c r="H3700" s="465">
        <v>715.06300999999996</v>
      </c>
      <c r="I3700" s="465">
        <v>25.710329999999999</v>
      </c>
      <c r="J3700" s="465">
        <v>88.411289999999994</v>
      </c>
      <c r="K3700" s="465">
        <v>10247.1898</v>
      </c>
      <c r="L3700" s="464" t="s">
        <v>538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spojovacia lišta H18 3m oliva</v>
      </c>
      <c r="C3701" s="185">
        <f t="shared" si="115"/>
        <v>15.17118</v>
      </c>
      <c r="D3701" s="409" t="s">
        <v>3534</v>
      </c>
      <c r="E3701" s="409" t="s">
        <v>6487</v>
      </c>
      <c r="F3701" s="409" t="s">
        <v>6488</v>
      </c>
      <c r="G3701" s="409" t="s">
        <v>6489</v>
      </c>
      <c r="H3701" s="465">
        <v>421.94506000000001</v>
      </c>
      <c r="I3701" s="465">
        <v>15.17118</v>
      </c>
      <c r="J3701" s="465">
        <v>55.253399999999999</v>
      </c>
      <c r="K3701" s="465">
        <v>6046.67155</v>
      </c>
      <c r="L3701" s="464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spojovacia lišta H18 3m čierna mat</v>
      </c>
      <c r="C3702" s="185">
        <f t="shared" si="115"/>
        <v>17.565259999999999</v>
      </c>
      <c r="D3702" s="409" t="s">
        <v>3535</v>
      </c>
      <c r="E3702" s="409" t="s">
        <v>6490</v>
      </c>
      <c r="F3702" s="409" t="s">
        <v>6491</v>
      </c>
      <c r="G3702" s="409" t="s">
        <v>6492</v>
      </c>
      <c r="H3702" s="465">
        <v>488.5299</v>
      </c>
      <c r="I3702" s="465">
        <v>17.565259999999999</v>
      </c>
      <c r="J3702" s="465">
        <v>62.454599999999999</v>
      </c>
      <c r="K3702" s="465">
        <v>7000.8636200000001</v>
      </c>
      <c r="L3702" s="464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SPOJ.LIŠTA H18 3m str.</v>
      </c>
      <c r="C3703" s="185">
        <f t="shared" si="115"/>
        <v>12.62096</v>
      </c>
      <c r="D3703" s="409" t="s">
        <v>3536</v>
      </c>
      <c r="E3703" s="409" t="s">
        <v>6493</v>
      </c>
      <c r="F3703" s="409" t="s">
        <v>6494</v>
      </c>
      <c r="G3703" s="409" t="s">
        <v>6495</v>
      </c>
      <c r="H3703" s="465">
        <v>351.01778000000002</v>
      </c>
      <c r="I3703" s="465">
        <v>12.62096</v>
      </c>
      <c r="J3703" s="465">
        <v>48.042000000000002</v>
      </c>
      <c r="K3703" s="465">
        <v>5030.2502199999999</v>
      </c>
      <c r="L3703" s="464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spojovacia lišta H25 3m oliva</v>
      </c>
      <c r="C3704" s="185">
        <f t="shared" si="115"/>
        <v>28.39066</v>
      </c>
      <c r="D3704" s="409" t="s">
        <v>3537</v>
      </c>
      <c r="E3704" s="409" t="s">
        <v>6496</v>
      </c>
      <c r="F3704" s="409" t="s">
        <v>6497</v>
      </c>
      <c r="G3704" s="409" t="s">
        <v>6498</v>
      </c>
      <c r="H3704" s="465">
        <v>789.60904000000005</v>
      </c>
      <c r="I3704" s="465">
        <v>28.39066</v>
      </c>
      <c r="J3704" s="465">
        <v>97.628270000000001</v>
      </c>
      <c r="K3704" s="465">
        <v>11315.469569999999</v>
      </c>
      <c r="L3704" s="464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spojovacia lišta H25 3m čierna mat</v>
      </c>
      <c r="C3705" s="185">
        <f t="shared" si="115"/>
        <v>28.859059999999999</v>
      </c>
      <c r="D3705" s="409" t="s">
        <v>3538</v>
      </c>
      <c r="E3705" s="409" t="s">
        <v>6499</v>
      </c>
      <c r="F3705" s="409" t="s">
        <v>6500</v>
      </c>
      <c r="G3705" s="409" t="s">
        <v>6501</v>
      </c>
      <c r="H3705" s="465">
        <v>802.63651000000004</v>
      </c>
      <c r="I3705" s="465">
        <v>28.859059999999999</v>
      </c>
      <c r="J3705" s="465">
        <v>101.0412</v>
      </c>
      <c r="K3705" s="465">
        <v>11502.15936</v>
      </c>
      <c r="L3705" s="464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SPOJ.LIŠTA H25 3m str.</v>
      </c>
      <c r="C3706" s="185">
        <f t="shared" si="115"/>
        <v>23.446359999999999</v>
      </c>
      <c r="D3706" s="409" t="s">
        <v>3539</v>
      </c>
      <c r="E3706" s="409" t="s">
        <v>6502</v>
      </c>
      <c r="F3706" s="409" t="s">
        <v>6503</v>
      </c>
      <c r="G3706" s="409" t="s">
        <v>6504</v>
      </c>
      <c r="H3706" s="465">
        <v>652.09693000000004</v>
      </c>
      <c r="I3706" s="465">
        <v>23.446359999999999</v>
      </c>
      <c r="J3706" s="465">
        <v>80.626099999999994</v>
      </c>
      <c r="K3706" s="465">
        <v>9344.8561699999991</v>
      </c>
      <c r="L3706" s="464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board horný vozík 18mm - 2ks</v>
      </c>
      <c r="C3707" s="185">
        <f t="shared" si="115"/>
        <v>4.8141800000000003</v>
      </c>
      <c r="D3707" s="409" t="s">
        <v>3540</v>
      </c>
      <c r="E3707" s="409" t="s">
        <v>6505</v>
      </c>
      <c r="F3707" s="409" t="s">
        <v>6506</v>
      </c>
      <c r="G3707" s="409" t="s">
        <v>6507</v>
      </c>
      <c r="H3707" s="465">
        <v>142.08112</v>
      </c>
      <c r="I3707" s="465">
        <v>4.8141800000000003</v>
      </c>
      <c r="J3707" s="465">
        <v>16.1568</v>
      </c>
      <c r="K3707" s="465">
        <v>1973.1330399999999</v>
      </c>
      <c r="L3707" s="464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05689 GM 18 horný vozík 18mm - 2ks</v>
      </c>
      <c r="C3708" s="185">
        <f t="shared" si="115"/>
        <v>4.8141800000000003</v>
      </c>
      <c r="D3708" s="409" t="s">
        <v>3541</v>
      </c>
      <c r="E3708" s="409" t="s">
        <v>6508</v>
      </c>
      <c r="F3708" s="409" t="s">
        <v>6509</v>
      </c>
      <c r="G3708" s="409" t="s">
        <v>6507</v>
      </c>
      <c r="H3708" s="465">
        <v>142.08112</v>
      </c>
      <c r="I3708" s="465">
        <v>4.8141800000000003</v>
      </c>
      <c r="J3708" s="465">
        <v>16.1568</v>
      </c>
      <c r="K3708" s="465">
        <v>1973.1330399999999</v>
      </c>
      <c r="L3708" s="464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horný vozík 18mm - 2ks</v>
      </c>
      <c r="C3709" s="185">
        <f t="shared" si="115"/>
        <v>5.7509899999999998</v>
      </c>
      <c r="D3709" s="409" t="s">
        <v>3542</v>
      </c>
      <c r="E3709" s="409" t="s">
        <v>6510</v>
      </c>
      <c r="F3709" s="409" t="s">
        <v>6511</v>
      </c>
      <c r="G3709" s="409" t="s">
        <v>6507</v>
      </c>
      <c r="H3709" s="465">
        <v>169.72931</v>
      </c>
      <c r="I3709" s="465">
        <v>5.7509899999999998</v>
      </c>
      <c r="J3709" s="465">
        <v>23.174399999999999</v>
      </c>
      <c r="K3709" s="465">
        <v>2357.0937899999999</v>
      </c>
      <c r="L3709" s="464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vzorkovník Úchytkové lišty 2023 - šanon</v>
      </c>
      <c r="C3710" s="185">
        <f t="shared" si="115"/>
        <v>39.99</v>
      </c>
      <c r="D3710" s="409" t="s">
        <v>6528</v>
      </c>
      <c r="E3710" s="409" t="s">
        <v>6530</v>
      </c>
      <c r="F3710" s="409" t="s">
        <v>6529</v>
      </c>
      <c r="G3710" s="409" t="s">
        <v>6531</v>
      </c>
      <c r="H3710" s="465">
        <v>799</v>
      </c>
      <c r="I3710" s="465">
        <v>39.99</v>
      </c>
      <c r="J3710" s="465">
        <v>150</v>
      </c>
      <c r="K3710" s="465">
        <v>11990</v>
      </c>
      <c r="L3710" s="464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horná vodiaca lišta 1,7m biela mat</v>
      </c>
      <c r="C3711" s="185">
        <f t="shared" si="115"/>
        <v>10.487109999999999</v>
      </c>
      <c r="D3711" s="409" t="s">
        <v>3557</v>
      </c>
      <c r="E3711" s="409" t="s">
        <v>6512</v>
      </c>
      <c r="F3711" s="409" t="s">
        <v>6513</v>
      </c>
      <c r="G3711" s="409" t="s">
        <v>6514</v>
      </c>
      <c r="H3711" s="465">
        <v>291.67043000000001</v>
      </c>
      <c r="I3711" s="465">
        <v>10.487109999999999</v>
      </c>
      <c r="J3711" s="465">
        <v>59.986199999999997</v>
      </c>
      <c r="K3711" s="465">
        <v>4179.7746299999999</v>
      </c>
      <c r="L3711" s="464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horná vodiaca lišta 2,35m biela mat</v>
      </c>
      <c r="C3712" s="185">
        <f t="shared" si="115"/>
        <v>14.52061</v>
      </c>
      <c r="D3712" s="409" t="s">
        <v>3558</v>
      </c>
      <c r="E3712" s="409" t="s">
        <v>6515</v>
      </c>
      <c r="F3712" s="409" t="s">
        <v>6516</v>
      </c>
      <c r="G3712" s="409" t="s">
        <v>6517</v>
      </c>
      <c r="H3712" s="465">
        <v>403.85138000000001</v>
      </c>
      <c r="I3712" s="465">
        <v>14.52061</v>
      </c>
      <c r="J3712" s="465">
        <v>82.936199999999999</v>
      </c>
      <c r="K3712" s="465">
        <v>5787.3805000000002</v>
      </c>
      <c r="L3712" s="464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00169 horná vodiaca lišta 3m biela mat</v>
      </c>
      <c r="C3713" s="185">
        <f t="shared" si="115"/>
        <v>18.528089999999999</v>
      </c>
      <c r="D3713" s="409" t="s">
        <v>3559</v>
      </c>
      <c r="E3713" s="409" t="s">
        <v>6518</v>
      </c>
      <c r="F3713" s="409" t="s">
        <v>6519</v>
      </c>
      <c r="G3713" s="409" t="s">
        <v>6520</v>
      </c>
      <c r="H3713" s="465">
        <v>515.30856000000006</v>
      </c>
      <c r="I3713" s="465">
        <v>18.528089999999999</v>
      </c>
      <c r="J3713" s="465">
        <v>105.8454</v>
      </c>
      <c r="K3713" s="465">
        <v>7384.61438</v>
      </c>
      <c r="L3713" s="464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spodná krycia lišta 1,7m 10mm biela mat</v>
      </c>
      <c r="C3714" s="185">
        <f t="shared" si="115"/>
        <v>19.048539999999999</v>
      </c>
      <c r="D3714" s="409" t="s">
        <v>3561</v>
      </c>
      <c r="E3714" s="409" t="s">
        <v>3562</v>
      </c>
      <c r="F3714" s="409" t="s">
        <v>3564</v>
      </c>
      <c r="G3714" s="409" t="s">
        <v>3563</v>
      </c>
      <c r="H3714" s="465">
        <v>529.78351999999995</v>
      </c>
      <c r="I3714" s="465">
        <v>19.048539999999999</v>
      </c>
      <c r="J3714" s="465">
        <v>70.369799999999998</v>
      </c>
      <c r="K3714" s="465">
        <v>7592.0473700000002</v>
      </c>
      <c r="L3714" s="464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spodná krycia lišta 2,35m 10mm biela mat</v>
      </c>
      <c r="C3715" s="185">
        <f t="shared" si="115"/>
        <v>26.30885</v>
      </c>
      <c r="D3715" s="409" t="s">
        <v>3565</v>
      </c>
      <c r="E3715" s="409" t="s">
        <v>3566</v>
      </c>
      <c r="F3715" s="409" t="s">
        <v>3568</v>
      </c>
      <c r="G3715" s="409" t="s">
        <v>3567</v>
      </c>
      <c r="H3715" s="465">
        <v>731.70920999999998</v>
      </c>
      <c r="I3715" s="465">
        <v>26.30885</v>
      </c>
      <c r="J3715" s="465">
        <v>97.287599999999998</v>
      </c>
      <c r="K3715" s="465">
        <v>10485.73761</v>
      </c>
      <c r="L3715" s="464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spodná krycia lišta 3m 10mm biela mat</v>
      </c>
      <c r="C3716" s="185">
        <f t="shared" ref="C3716:C3779" si="117">IF($A$2=1,H3716,IF($A$2=2,I3716,IF($A$2=3,J3716,IF($A$2=4,K3716,IF($A$2&gt;4,O3716,"zadat jazyk")))))</f>
        <v>33.67324</v>
      </c>
      <c r="D3716" s="409" t="s">
        <v>3569</v>
      </c>
      <c r="E3716" s="409" t="s">
        <v>3570</v>
      </c>
      <c r="F3716" s="409" t="s">
        <v>3572</v>
      </c>
      <c r="G3716" s="409" t="s">
        <v>3571</v>
      </c>
      <c r="H3716" s="465">
        <v>936.52988000000005</v>
      </c>
      <c r="I3716" s="465">
        <v>33.67324</v>
      </c>
      <c r="J3716" s="465">
        <v>124.22580000000001</v>
      </c>
      <c r="K3716" s="465">
        <v>13420.91432</v>
      </c>
      <c r="L3716" s="464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spojovacia lišta H10 3m biela mat</v>
      </c>
      <c r="C3717" s="185">
        <f t="shared" si="117"/>
        <v>15.82174</v>
      </c>
      <c r="D3717" s="409" t="s">
        <v>3573</v>
      </c>
      <c r="E3717" s="409" t="s">
        <v>6521</v>
      </c>
      <c r="F3717" s="409" t="s">
        <v>6522</v>
      </c>
      <c r="G3717" s="409" t="s">
        <v>6523</v>
      </c>
      <c r="H3717" s="465">
        <v>440.03877999999997</v>
      </c>
      <c r="I3717" s="465">
        <v>15.82174</v>
      </c>
      <c r="J3717" s="465">
        <v>67.289400000000001</v>
      </c>
      <c r="K3717" s="465">
        <v>6305.9629800000002</v>
      </c>
      <c r="L3717" s="464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úch.lišta 2,7m čierna štrukturálna</v>
      </c>
      <c r="C3718" s="185">
        <f t="shared" si="117"/>
        <v>21.598759999999999</v>
      </c>
      <c r="D3718" s="409" t="s">
        <v>6587</v>
      </c>
      <c r="E3718" t="s">
        <v>6616</v>
      </c>
      <c r="F3718" t="s">
        <v>6617</v>
      </c>
      <c r="G3718" t="s">
        <v>6618</v>
      </c>
      <c r="H3718" s="188">
        <v>600.71082000000001</v>
      </c>
      <c r="I3718" s="186">
        <v>21.598759999999999</v>
      </c>
      <c r="J3718" s="85">
        <v>74.272649999999999</v>
      </c>
      <c r="K3718" s="85">
        <v>8608.4691000000003</v>
      </c>
      <c r="L3718" t="s">
        <v>539</v>
      </c>
      <c r="O3718">
        <v>20.05114</v>
      </c>
      <c r="P3718" t="s">
        <v>10428</v>
      </c>
    </row>
    <row r="3719" spans="1:16" x14ac:dyDescent="0.25">
      <c r="A3719">
        <v>526476</v>
      </c>
      <c r="B3719" t="str">
        <f t="shared" si="116"/>
        <v>SEVROLL 06439 Gemini 10 spodná krycia lišta 1,7m 10mm čierna štrukturálna</v>
      </c>
      <c r="C3719" s="185">
        <f t="shared" si="117"/>
        <v>19.048539999999999</v>
      </c>
      <c r="D3719" t="s">
        <v>6588</v>
      </c>
      <c r="E3719" t="s">
        <v>6619</v>
      </c>
      <c r="F3719" t="s">
        <v>6620</v>
      </c>
      <c r="G3719" t="s">
        <v>6621</v>
      </c>
      <c r="H3719" s="188">
        <v>529.78351999999995</v>
      </c>
      <c r="I3719" s="186">
        <v>19.048539999999999</v>
      </c>
      <c r="J3719" s="85">
        <v>65.503110000000007</v>
      </c>
      <c r="K3719" s="85">
        <v>7592.0473700000002</v>
      </c>
      <c r="L3719" t="s">
        <v>539</v>
      </c>
      <c r="O3719">
        <v>17.68366</v>
      </c>
      <c r="P3719" t="s">
        <v>10429</v>
      </c>
    </row>
    <row r="3720" spans="1:16" x14ac:dyDescent="0.25">
      <c r="A3720">
        <v>526477</v>
      </c>
      <c r="B3720" t="str">
        <f t="shared" si="116"/>
        <v>SEVROLL 06440 Gemini 10 spodná krycia lišta 2,35m 10mm čierna štrukturálna</v>
      </c>
      <c r="C3720" s="185">
        <f t="shared" si="117"/>
        <v>26.30885</v>
      </c>
      <c r="D3720" t="s">
        <v>6589</v>
      </c>
      <c r="E3720" t="s">
        <v>6622</v>
      </c>
      <c r="F3720" t="s">
        <v>6623</v>
      </c>
      <c r="G3720" t="s">
        <v>6624</v>
      </c>
      <c r="H3720" s="188">
        <v>731.70920999999998</v>
      </c>
      <c r="I3720" s="186">
        <v>26.30885</v>
      </c>
      <c r="J3720" s="85">
        <v>90.469449999999995</v>
      </c>
      <c r="K3720" s="85">
        <v>10485.73761</v>
      </c>
      <c r="L3720" t="s">
        <v>539</v>
      </c>
      <c r="O3720">
        <v>24.423739999999999</v>
      </c>
      <c r="P3720" t="s">
        <v>10430</v>
      </c>
    </row>
    <row r="3721" spans="1:16" x14ac:dyDescent="0.25">
      <c r="A3721">
        <v>526478</v>
      </c>
      <c r="B3721" t="str">
        <f t="shared" si="116"/>
        <v>SEVROLL 06123 Gemini 10 spodná krycia lišta 3m 10mm čierna štrukturálna</v>
      </c>
      <c r="C3721" s="185">
        <f t="shared" si="117"/>
        <v>33.67324</v>
      </c>
      <c r="D3721" t="s">
        <v>6590</v>
      </c>
      <c r="E3721" t="s">
        <v>6625</v>
      </c>
      <c r="F3721" t="s">
        <v>6626</v>
      </c>
      <c r="G3721" t="s">
        <v>6627</v>
      </c>
      <c r="H3721" s="188">
        <v>936.52988000000005</v>
      </c>
      <c r="I3721" s="186">
        <v>33.67324</v>
      </c>
      <c r="J3721" s="85">
        <v>115.79375</v>
      </c>
      <c r="K3721" s="85">
        <v>13420.91432</v>
      </c>
      <c r="L3721" t="s">
        <v>539</v>
      </c>
      <c r="O3721">
        <v>31.260449999999999</v>
      </c>
      <c r="P3721" t="s">
        <v>10431</v>
      </c>
    </row>
    <row r="3722" spans="1:16" x14ac:dyDescent="0.25">
      <c r="A3722">
        <v>526496</v>
      </c>
      <c r="B3722" t="str">
        <f t="shared" si="116"/>
        <v>SEVROLL 06441 horná vodiaca lišta 1,7m čierna štrukturálna</v>
      </c>
      <c r="C3722" s="185">
        <f t="shared" si="117"/>
        <v>10.487109999999999</v>
      </c>
      <c r="D3722" t="s">
        <v>6591</v>
      </c>
      <c r="E3722" t="s">
        <v>6628</v>
      </c>
      <c r="F3722" t="s">
        <v>6629</v>
      </c>
      <c r="G3722" t="s">
        <v>6630</v>
      </c>
      <c r="H3722" s="188">
        <v>291.67043000000001</v>
      </c>
      <c r="I3722" s="186">
        <v>10.487109999999999</v>
      </c>
      <c r="J3722" s="85">
        <v>36.062510000000003</v>
      </c>
      <c r="K3722" s="85">
        <v>4179.7746299999999</v>
      </c>
      <c r="L3722" t="s">
        <v>539</v>
      </c>
      <c r="O3722">
        <v>9.7356700000000007</v>
      </c>
      <c r="P3722" t="s">
        <v>10432</v>
      </c>
    </row>
    <row r="3723" spans="1:16" x14ac:dyDescent="0.25">
      <c r="A3723">
        <v>526497</v>
      </c>
      <c r="B3723" t="str">
        <f t="shared" si="116"/>
        <v>SEVROLL 06442 horná vodiaca lišta 2,35m čierna štrukturálna</v>
      </c>
      <c r="C3723" s="185">
        <f t="shared" si="117"/>
        <v>14.52061</v>
      </c>
      <c r="D3723" t="s">
        <v>6592</v>
      </c>
      <c r="E3723" t="s">
        <v>6631</v>
      </c>
      <c r="F3723" t="s">
        <v>6632</v>
      </c>
      <c r="G3723" t="s">
        <v>6633</v>
      </c>
      <c r="H3723" s="188">
        <v>403.85138000000001</v>
      </c>
      <c r="I3723" s="186">
        <v>14.52061</v>
      </c>
      <c r="J3723" s="85">
        <v>49.932699999999997</v>
      </c>
      <c r="K3723" s="85">
        <v>5787.3805000000002</v>
      </c>
      <c r="L3723" t="s">
        <v>539</v>
      </c>
      <c r="O3723">
        <v>13.48016</v>
      </c>
      <c r="P3723" t="s">
        <v>10433</v>
      </c>
    </row>
    <row r="3724" spans="1:16" x14ac:dyDescent="0.25">
      <c r="A3724">
        <v>526500</v>
      </c>
      <c r="B3724" t="str">
        <f t="shared" si="116"/>
        <v>SEVROLL 06124 horná vodiaca lišta 3m čierna štrukturálna</v>
      </c>
      <c r="C3724" s="185">
        <f t="shared" si="117"/>
        <v>18.528089999999999</v>
      </c>
      <c r="D3724" t="s">
        <v>6593</v>
      </c>
      <c r="E3724" t="s">
        <v>6634</v>
      </c>
      <c r="F3724" t="s">
        <v>6635</v>
      </c>
      <c r="G3724" t="s">
        <v>6636</v>
      </c>
      <c r="H3724" s="188">
        <v>515.30856000000006</v>
      </c>
      <c r="I3724" s="186">
        <v>18.528089999999999</v>
      </c>
      <c r="J3724" s="85">
        <v>63.7134</v>
      </c>
      <c r="K3724" s="85">
        <v>7384.61438</v>
      </c>
      <c r="L3724" t="s">
        <v>539</v>
      </c>
      <c r="O3724">
        <v>17.200500000000002</v>
      </c>
      <c r="P3724" t="s">
        <v>10434</v>
      </c>
    </row>
    <row r="3725" spans="1:16" x14ac:dyDescent="0.25">
      <c r="A3725">
        <v>526501</v>
      </c>
      <c r="B3725" t="str">
        <f t="shared" si="116"/>
        <v>SEVROLL 06125 spojovacia lišta H10 3m čierna štrukturálna</v>
      </c>
      <c r="C3725" s="185">
        <f t="shared" si="117"/>
        <v>15.82174</v>
      </c>
      <c r="D3725" t="s">
        <v>6594</v>
      </c>
      <c r="E3725" t="s">
        <v>6637</v>
      </c>
      <c r="F3725" t="s">
        <v>6638</v>
      </c>
      <c r="G3725" t="s">
        <v>6639</v>
      </c>
      <c r="H3725" s="188">
        <v>440.03877999999997</v>
      </c>
      <c r="I3725" s="186">
        <v>15.82174</v>
      </c>
      <c r="J3725" s="85">
        <v>54.406959999999998</v>
      </c>
      <c r="K3725" s="85">
        <v>6305.9629800000002</v>
      </c>
      <c r="L3725" t="s">
        <v>539</v>
      </c>
      <c r="O3725">
        <v>14.68806</v>
      </c>
      <c r="P3725" t="s">
        <v>10435</v>
      </c>
    </row>
    <row r="3726" spans="1:16" x14ac:dyDescent="0.25">
      <c r="A3726">
        <v>526506</v>
      </c>
      <c r="B3726" t="str">
        <f t="shared" si="116"/>
        <v>SEVROLL 06269 Elegant II spodné vedenie 1,7m čierna štrukturálna</v>
      </c>
      <c r="C3726" s="185">
        <f t="shared" si="117"/>
        <v>10.851419999999999</v>
      </c>
      <c r="D3726" t="s">
        <v>6595</v>
      </c>
      <c r="E3726" t="s">
        <v>6640</v>
      </c>
      <c r="F3726" t="s">
        <v>6641</v>
      </c>
      <c r="G3726" t="s">
        <v>6642</v>
      </c>
      <c r="H3726" s="188">
        <v>301.80291999999997</v>
      </c>
      <c r="I3726" s="186">
        <v>10.851419999999999</v>
      </c>
      <c r="J3726" s="85">
        <v>37.315300000000001</v>
      </c>
      <c r="K3726" s="85">
        <v>4324.9779799999997</v>
      </c>
      <c r="L3726" t="s">
        <v>539</v>
      </c>
      <c r="O3726">
        <v>10.07389</v>
      </c>
      <c r="P3726" t="s">
        <v>10436</v>
      </c>
    </row>
    <row r="3727" spans="1:16" x14ac:dyDescent="0.25">
      <c r="A3727">
        <v>526509</v>
      </c>
      <c r="B3727" t="str">
        <f t="shared" si="116"/>
        <v>SEVROLL 06270 Elegant II spodné vedenie 2,35m čierna štrukturálna</v>
      </c>
      <c r="C3727" s="185">
        <f t="shared" si="117"/>
        <v>14.91095</v>
      </c>
      <c r="D3727" t="s">
        <v>6596</v>
      </c>
      <c r="E3727" t="s">
        <v>6643</v>
      </c>
      <c r="F3727" t="s">
        <v>6644</v>
      </c>
      <c r="G3727" t="s">
        <v>6645</v>
      </c>
      <c r="H3727" s="188">
        <v>414.70758000000001</v>
      </c>
      <c r="I3727" s="186">
        <v>14.91095</v>
      </c>
      <c r="J3727" s="85">
        <v>51.274979999999999</v>
      </c>
      <c r="K3727" s="85">
        <v>5942.9550600000002</v>
      </c>
      <c r="L3727" t="s">
        <v>539</v>
      </c>
      <c r="O3727">
        <v>13.84253</v>
      </c>
      <c r="P3727" t="s">
        <v>10437</v>
      </c>
    </row>
    <row r="3728" spans="1:16" x14ac:dyDescent="0.25">
      <c r="A3728">
        <v>526510</v>
      </c>
      <c r="B3728" t="str">
        <f t="shared" si="116"/>
        <v>SEVROLL 06271 Elegant II spodné vedenie 3m čierna štrukturálna</v>
      </c>
      <c r="C3728" s="185">
        <f t="shared" si="117"/>
        <v>18.94445</v>
      </c>
      <c r="D3728" t="s">
        <v>6597</v>
      </c>
      <c r="E3728" t="s">
        <v>6646</v>
      </c>
      <c r="F3728" t="s">
        <v>6647</v>
      </c>
      <c r="G3728" t="s">
        <v>6648</v>
      </c>
      <c r="H3728" s="188">
        <v>526.88854000000003</v>
      </c>
      <c r="I3728" s="186">
        <v>18.94445</v>
      </c>
      <c r="J3728" s="85">
        <v>65.145169999999993</v>
      </c>
      <c r="K3728" s="85">
        <v>7550.5609299999996</v>
      </c>
      <c r="L3728" t="s">
        <v>539</v>
      </c>
      <c r="O3728">
        <v>17.587019999999999</v>
      </c>
      <c r="P3728" t="s">
        <v>10438</v>
      </c>
    </row>
    <row r="3729" spans="1:16" x14ac:dyDescent="0.25">
      <c r="A3729">
        <v>526511</v>
      </c>
      <c r="B3729" t="str">
        <f t="shared" si="116"/>
        <v>SEVROLL 06272 Elegant II spodné vedenie 4,05m čierna štrukturálna</v>
      </c>
      <c r="C3729" s="185">
        <f t="shared" si="117"/>
        <v>25.658280000000001</v>
      </c>
      <c r="D3729" t="s">
        <v>6598</v>
      </c>
      <c r="E3729" t="s">
        <v>6649</v>
      </c>
      <c r="F3729" t="s">
        <v>6650</v>
      </c>
      <c r="G3729" t="s">
        <v>6651</v>
      </c>
      <c r="H3729" s="188">
        <v>713.61551999999995</v>
      </c>
      <c r="I3729" s="186">
        <v>25.658280000000001</v>
      </c>
      <c r="J3729" s="85">
        <v>88.232330000000005</v>
      </c>
      <c r="K3729" s="85">
        <v>10226.44657</v>
      </c>
      <c r="L3729" t="s">
        <v>539</v>
      </c>
      <c r="O3729">
        <v>23.819790000000001</v>
      </c>
      <c r="P3729" t="s">
        <v>10439</v>
      </c>
    </row>
    <row r="3730" spans="1:16" x14ac:dyDescent="0.25">
      <c r="A3730">
        <v>526512</v>
      </c>
      <c r="B3730" t="str">
        <f t="shared" si="116"/>
        <v>SEVROLL 06128 Elegant II spodné vedenie 6m čierna štrukturálna</v>
      </c>
      <c r="C3730" s="185">
        <f t="shared" si="117"/>
        <v>37.914929999999998</v>
      </c>
      <c r="D3730" t="s">
        <v>6599</v>
      </c>
      <c r="E3730" t="s">
        <v>6652</v>
      </c>
      <c r="F3730" t="s">
        <v>6653</v>
      </c>
      <c r="G3730" t="s">
        <v>6654</v>
      </c>
      <c r="H3730" s="188">
        <v>1054.50082</v>
      </c>
      <c r="I3730" s="186">
        <v>37.914929999999998</v>
      </c>
      <c r="J3730" s="85">
        <v>130.37982</v>
      </c>
      <c r="K3730" s="85">
        <v>15111.493469999999</v>
      </c>
      <c r="L3730" t="s">
        <v>539</v>
      </c>
      <c r="O3730">
        <v>35.198210000000003</v>
      </c>
      <c r="P3730" t="s">
        <v>10440</v>
      </c>
    </row>
    <row r="3731" spans="1:16" x14ac:dyDescent="0.25">
      <c r="A3731">
        <v>526516</v>
      </c>
      <c r="B3731" t="str">
        <f t="shared" si="116"/>
        <v>SEVROLL 06285 Gemini horné  vedenie 1,7m čierna štrukturálna</v>
      </c>
      <c r="C3731" s="185">
        <f t="shared" si="117"/>
        <v>18.39798</v>
      </c>
      <c r="D3731" t="s">
        <v>6600</v>
      </c>
      <c r="E3731" t="s">
        <v>6655</v>
      </c>
      <c r="F3731" t="s">
        <v>6656</v>
      </c>
      <c r="G3731" t="s">
        <v>6657</v>
      </c>
      <c r="H3731" s="188">
        <v>511.68982999999997</v>
      </c>
      <c r="I3731" s="186">
        <v>18.39798</v>
      </c>
      <c r="J3731" s="85">
        <v>63.265970000000003</v>
      </c>
      <c r="K3731" s="85">
        <v>7332.7563300000002</v>
      </c>
      <c r="L3731" t="s">
        <v>539</v>
      </c>
      <c r="O3731">
        <v>17.079709999999999</v>
      </c>
      <c r="P3731" t="s">
        <v>10441</v>
      </c>
    </row>
    <row r="3732" spans="1:16" x14ac:dyDescent="0.25">
      <c r="A3732">
        <v>526519</v>
      </c>
      <c r="B3732" t="str">
        <f t="shared" si="116"/>
        <v>SEVROLL 06286 Gemini horné vedenie 2,35m čierna štrukturálna</v>
      </c>
      <c r="C3732" s="185">
        <f t="shared" si="117"/>
        <v>25.450099999999999</v>
      </c>
      <c r="D3732" t="s">
        <v>6601</v>
      </c>
      <c r="E3732" t="s">
        <v>6658</v>
      </c>
      <c r="F3732" t="s">
        <v>6659</v>
      </c>
      <c r="G3732" t="s">
        <v>6660</v>
      </c>
      <c r="H3732" s="188">
        <v>707.82552999999996</v>
      </c>
      <c r="I3732" s="186">
        <v>25.450099999999999</v>
      </c>
      <c r="J3732" s="85">
        <v>87.516450000000006</v>
      </c>
      <c r="K3732" s="85">
        <v>10143.473319999999</v>
      </c>
      <c r="L3732" t="s">
        <v>539</v>
      </c>
      <c r="O3732">
        <v>23.626519999999999</v>
      </c>
      <c r="P3732" t="s">
        <v>10442</v>
      </c>
    </row>
    <row r="3733" spans="1:16" x14ac:dyDescent="0.25">
      <c r="A3733">
        <v>526520</v>
      </c>
      <c r="B3733" t="str">
        <f t="shared" si="116"/>
        <v>SEVROLL 06287 Gemini horné  vedenie 3m čierna štrukturálna</v>
      </c>
      <c r="C3733" s="185">
        <f t="shared" si="117"/>
        <v>32.476199999999999</v>
      </c>
      <c r="D3733" t="s">
        <v>6602</v>
      </c>
      <c r="E3733" t="s">
        <v>6661</v>
      </c>
      <c r="F3733" t="s">
        <v>6662</v>
      </c>
      <c r="G3733" t="s">
        <v>6663</v>
      </c>
      <c r="H3733" s="188">
        <v>903.23748000000001</v>
      </c>
      <c r="I3733" s="186">
        <v>32.476199999999999</v>
      </c>
      <c r="J3733" s="85">
        <v>111.67742</v>
      </c>
      <c r="K3733" s="85">
        <v>12943.81868</v>
      </c>
      <c r="L3733" t="s">
        <v>539</v>
      </c>
      <c r="O3733">
        <v>30.149180000000001</v>
      </c>
      <c r="P3733" t="s">
        <v>10443</v>
      </c>
    </row>
    <row r="3734" spans="1:16" x14ac:dyDescent="0.25">
      <c r="A3734">
        <v>526521</v>
      </c>
      <c r="B3734" t="str">
        <f t="shared" si="116"/>
        <v>SEVROLL 06288 Gemini horné vedenie  4,05m čierna štrukturálna</v>
      </c>
      <c r="C3734" s="185">
        <f t="shared" si="117"/>
        <v>43.848080000000003</v>
      </c>
      <c r="D3734" t="s">
        <v>6603</v>
      </c>
      <c r="E3734" t="s">
        <v>6664</v>
      </c>
      <c r="F3734" t="s">
        <v>6665</v>
      </c>
      <c r="G3734" t="s">
        <v>6666</v>
      </c>
      <c r="H3734" s="188">
        <v>1219.5153600000001</v>
      </c>
      <c r="I3734" s="186">
        <v>43.848080000000003</v>
      </c>
      <c r="J3734" s="85">
        <v>150.78242</v>
      </c>
      <c r="K3734" s="85">
        <v>17476.229630000002</v>
      </c>
      <c r="L3734" t="s">
        <v>539</v>
      </c>
      <c r="O3734">
        <v>40.706229999999998</v>
      </c>
      <c r="P3734" t="s">
        <v>10444</v>
      </c>
    </row>
    <row r="3735" spans="1:16" x14ac:dyDescent="0.25">
      <c r="A3735">
        <v>526522</v>
      </c>
      <c r="B3735" t="str">
        <f t="shared" si="116"/>
        <v>SEVROLL 06154 Gemini horné vedenie 6m čierna štrukturálna</v>
      </c>
      <c r="C3735" s="185">
        <f t="shared" si="117"/>
        <v>64.95241</v>
      </c>
      <c r="D3735" t="s">
        <v>6604</v>
      </c>
      <c r="E3735" t="s">
        <v>6667</v>
      </c>
      <c r="F3735" t="s">
        <v>6668</v>
      </c>
      <c r="G3735" t="s">
        <v>6669</v>
      </c>
      <c r="H3735" s="188">
        <v>1806.47497</v>
      </c>
      <c r="I3735" s="186">
        <v>64.95241</v>
      </c>
      <c r="J3735" s="85">
        <v>223.35486</v>
      </c>
      <c r="K3735" s="85">
        <v>25887.637350000001</v>
      </c>
      <c r="L3735" t="s">
        <v>539</v>
      </c>
      <c r="O3735">
        <v>60.298369999999998</v>
      </c>
      <c r="P3735" t="s">
        <v>10445</v>
      </c>
    </row>
    <row r="3736" spans="1:16" x14ac:dyDescent="0.25">
      <c r="A3736">
        <v>526524</v>
      </c>
      <c r="B3736" t="str">
        <f t="shared" si="116"/>
        <v>SEVROLL 06301 maska Elegant II 1,7m čierna štrukturálna</v>
      </c>
      <c r="C3736" s="185">
        <f t="shared" si="117"/>
        <v>3.3308900000000001</v>
      </c>
      <c r="D3736" t="s">
        <v>6605</v>
      </c>
      <c r="E3736" t="s">
        <v>6670</v>
      </c>
      <c r="F3736" t="s">
        <v>6671</v>
      </c>
      <c r="G3736" t="s">
        <v>6672</v>
      </c>
      <c r="H3736" s="188">
        <v>92.639750000000006</v>
      </c>
      <c r="I3736" s="186">
        <v>3.3308900000000001</v>
      </c>
      <c r="J3736" s="85">
        <v>11.454090000000001</v>
      </c>
      <c r="K3736" s="85">
        <v>1327.57123</v>
      </c>
      <c r="L3736" t="s">
        <v>539</v>
      </c>
      <c r="O3736">
        <v>3.0922200000000002</v>
      </c>
      <c r="P3736" t="s">
        <v>10446</v>
      </c>
    </row>
    <row r="3737" spans="1:16" x14ac:dyDescent="0.25">
      <c r="A3737">
        <v>526525</v>
      </c>
      <c r="B3737" t="str">
        <f t="shared" si="116"/>
        <v>SEVROLL 06302 maska Elegant II 2,35m čierna štrukturálna</v>
      </c>
      <c r="C3737" s="185">
        <f t="shared" si="117"/>
        <v>4.6059999999999999</v>
      </c>
      <c r="D3737" t="s">
        <v>6606</v>
      </c>
      <c r="E3737" t="s">
        <v>6673</v>
      </c>
      <c r="F3737" t="s">
        <v>6674</v>
      </c>
      <c r="G3737" t="s">
        <v>6675</v>
      </c>
      <c r="H3737" s="188">
        <v>128.10339999999999</v>
      </c>
      <c r="I3737" s="186">
        <v>4.6059999999999999</v>
      </c>
      <c r="J3737" s="85">
        <v>15.83888</v>
      </c>
      <c r="K3737" s="85">
        <v>1835.78208</v>
      </c>
      <c r="L3737" t="s">
        <v>539</v>
      </c>
      <c r="O3737">
        <v>4.27597</v>
      </c>
      <c r="P3737" t="s">
        <v>10447</v>
      </c>
    </row>
    <row r="3738" spans="1:16" x14ac:dyDescent="0.25">
      <c r="A3738">
        <v>526526</v>
      </c>
      <c r="B3738" t="str">
        <f t="shared" si="116"/>
        <v>SEVROLL 06303 maska Elegant II 3m čierna štrukturálna</v>
      </c>
      <c r="C3738" s="185">
        <f t="shared" si="117"/>
        <v>5.8811099999999996</v>
      </c>
      <c r="D3738" t="s">
        <v>6607</v>
      </c>
      <c r="E3738" t="s">
        <v>6676</v>
      </c>
      <c r="F3738" t="s">
        <v>6677</v>
      </c>
      <c r="G3738" t="s">
        <v>6678</v>
      </c>
      <c r="H3738" s="188">
        <v>163.56704999999999</v>
      </c>
      <c r="I3738" s="186">
        <v>5.8811099999999996</v>
      </c>
      <c r="J3738" s="85">
        <v>20.22364</v>
      </c>
      <c r="K3738" s="85">
        <v>2343.9929499999998</v>
      </c>
      <c r="L3738" t="s">
        <v>539</v>
      </c>
      <c r="O3738">
        <v>5.4597100000000003</v>
      </c>
      <c r="P3738" t="s">
        <v>10448</v>
      </c>
    </row>
    <row r="3739" spans="1:16" x14ac:dyDescent="0.25">
      <c r="A3739">
        <v>526527</v>
      </c>
      <c r="B3739" t="str">
        <f t="shared" si="116"/>
        <v>SEVROLL 06304 maska Elegant II 4,05m čierna štrukturálna</v>
      </c>
      <c r="C3739" s="185">
        <f t="shared" si="117"/>
        <v>7.93689</v>
      </c>
      <c r="D3739" t="s">
        <v>6608</v>
      </c>
      <c r="E3739" t="s">
        <v>6679</v>
      </c>
      <c r="F3739" t="s">
        <v>6680</v>
      </c>
      <c r="G3739" t="s">
        <v>6681</v>
      </c>
      <c r="H3739" s="188">
        <v>220.74315000000001</v>
      </c>
      <c r="I3739" s="186">
        <v>7.93689</v>
      </c>
      <c r="J3739" s="85">
        <v>27.29297</v>
      </c>
      <c r="K3739" s="85">
        <v>3163.3533000000002</v>
      </c>
      <c r="L3739" t="s">
        <v>539</v>
      </c>
      <c r="O3739">
        <v>7.3681900000000002</v>
      </c>
      <c r="P3739" t="s">
        <v>10449</v>
      </c>
    </row>
    <row r="3740" spans="1:16" x14ac:dyDescent="0.25">
      <c r="A3740">
        <v>526528</v>
      </c>
      <c r="B3740" t="str">
        <f t="shared" si="116"/>
        <v>SEVROLL 06157 maska Elegant II 6m čierna štrukturálna</v>
      </c>
      <c r="C3740" s="185">
        <f t="shared" si="117"/>
        <v>11.762219999999999</v>
      </c>
      <c r="D3740" t="s">
        <v>6609</v>
      </c>
      <c r="E3740" t="s">
        <v>6682</v>
      </c>
      <c r="F3740" t="s">
        <v>6683</v>
      </c>
      <c r="G3740" t="s">
        <v>6684</v>
      </c>
      <c r="H3740" s="188">
        <v>327.13407999999998</v>
      </c>
      <c r="I3740" s="186">
        <v>11.762219999999999</v>
      </c>
      <c r="J3740" s="85">
        <v>40.447279999999999</v>
      </c>
      <c r="K3740" s="85">
        <v>4687.9854999999998</v>
      </c>
      <c r="L3740" t="s">
        <v>539</v>
      </c>
      <c r="O3740">
        <v>10.919420000000001</v>
      </c>
      <c r="P3740" t="s">
        <v>10450</v>
      </c>
    </row>
    <row r="3741" spans="1:16" x14ac:dyDescent="0.25">
      <c r="A3741">
        <v>525015</v>
      </c>
      <c r="B3741" t="str">
        <f t="shared" si="116"/>
        <v>SEVROLL 06370 Gemini úchytová lišta 2,7m čierna štrukturálna</v>
      </c>
      <c r="C3741" s="185">
        <f t="shared" si="117"/>
        <v>24.565329999999999</v>
      </c>
      <c r="D3741" t="s">
        <v>6610</v>
      </c>
      <c r="E3741" t="s">
        <v>6685</v>
      </c>
      <c r="F3741" t="s">
        <v>6686</v>
      </c>
      <c r="G3741" t="s">
        <v>6687</v>
      </c>
      <c r="H3741" s="188">
        <v>683.21807999999999</v>
      </c>
      <c r="I3741" s="186">
        <v>24.565329999999999</v>
      </c>
      <c r="J3741" s="85">
        <v>84.473960000000005</v>
      </c>
      <c r="K3741" s="85">
        <v>9790.83698</v>
      </c>
      <c r="L3741" t="s">
        <v>539</v>
      </c>
      <c r="O3741">
        <v>22.805150000000001</v>
      </c>
      <c r="P3741" t="s">
        <v>10451</v>
      </c>
    </row>
    <row r="3742" spans="1:16" x14ac:dyDescent="0.25">
      <c r="A3742">
        <v>526476</v>
      </c>
      <c r="B3742" t="str">
        <f t="shared" si="116"/>
        <v>SEVROLL 06439 Gemini 10 spodná krycia lišta 1,7m 10mm čierna štrukturálna</v>
      </c>
      <c r="C3742" s="185">
        <f t="shared" si="117"/>
        <v>19.048539999999999</v>
      </c>
      <c r="D3742" t="s">
        <v>6588</v>
      </c>
      <c r="E3742" t="s">
        <v>6619</v>
      </c>
      <c r="F3742" t="s">
        <v>6620</v>
      </c>
      <c r="G3742" t="s">
        <v>6621</v>
      </c>
      <c r="H3742" s="188">
        <v>529.78351999999995</v>
      </c>
      <c r="I3742" s="186">
        <v>19.048539999999999</v>
      </c>
      <c r="J3742" s="85">
        <v>65.503110000000007</v>
      </c>
      <c r="K3742" s="85">
        <v>7592.0473700000002</v>
      </c>
      <c r="L3742" t="s">
        <v>539</v>
      </c>
      <c r="O3742">
        <v>17.68366</v>
      </c>
      <c r="P3742" t="s">
        <v>10429</v>
      </c>
    </row>
    <row r="3743" spans="1:16" x14ac:dyDescent="0.25">
      <c r="A3743">
        <v>526477</v>
      </c>
      <c r="B3743" t="str">
        <f t="shared" si="116"/>
        <v>SEVROLL 06440 Gemini 10 spodná krycia lišta 2,35m 10mm čierna štrukturálna</v>
      </c>
      <c r="C3743" s="185">
        <f t="shared" si="117"/>
        <v>26.30885</v>
      </c>
      <c r="D3743" t="s">
        <v>6589</v>
      </c>
      <c r="E3743" t="s">
        <v>6622</v>
      </c>
      <c r="F3743" t="s">
        <v>6623</v>
      </c>
      <c r="G3743" t="s">
        <v>6624</v>
      </c>
      <c r="H3743" s="188">
        <v>731.70920999999998</v>
      </c>
      <c r="I3743" s="186">
        <v>26.30885</v>
      </c>
      <c r="J3743" s="85">
        <v>90.469449999999995</v>
      </c>
      <c r="K3743" s="85">
        <v>10485.73761</v>
      </c>
      <c r="L3743" t="s">
        <v>539</v>
      </c>
      <c r="O3743">
        <v>24.423739999999999</v>
      </c>
      <c r="P3743" t="s">
        <v>10430</v>
      </c>
    </row>
    <row r="3744" spans="1:16" x14ac:dyDescent="0.25">
      <c r="A3744">
        <v>526478</v>
      </c>
      <c r="B3744" t="str">
        <f t="shared" si="116"/>
        <v>SEVROLL 06123 Gemini 10 spodná krycia lišta 3m 10mm čierna štrukturálna</v>
      </c>
      <c r="C3744" s="185">
        <f t="shared" si="117"/>
        <v>33.67324</v>
      </c>
      <c r="D3744" t="s">
        <v>6590</v>
      </c>
      <c r="E3744" t="s">
        <v>6625</v>
      </c>
      <c r="F3744" t="s">
        <v>6626</v>
      </c>
      <c r="G3744" t="s">
        <v>6627</v>
      </c>
      <c r="H3744" s="188">
        <v>936.52988000000005</v>
      </c>
      <c r="I3744" s="186">
        <v>33.67324</v>
      </c>
      <c r="J3744" s="85">
        <v>115.79375</v>
      </c>
      <c r="K3744" s="85">
        <v>13420.91432</v>
      </c>
      <c r="L3744" t="s">
        <v>539</v>
      </c>
      <c r="O3744">
        <v>31.260449999999999</v>
      </c>
      <c r="P3744" t="s">
        <v>10431</v>
      </c>
    </row>
    <row r="3745" spans="1:16" x14ac:dyDescent="0.25">
      <c r="A3745">
        <v>526496</v>
      </c>
      <c r="B3745" t="str">
        <f t="shared" si="116"/>
        <v>SEVROLL 06441 horná vodiaca lišta 1,7m čierna štrukturálna</v>
      </c>
      <c r="C3745" s="185">
        <f t="shared" si="117"/>
        <v>10.487109999999999</v>
      </c>
      <c r="D3745" t="s">
        <v>6591</v>
      </c>
      <c r="E3745" t="s">
        <v>6628</v>
      </c>
      <c r="F3745" t="s">
        <v>6629</v>
      </c>
      <c r="G3745" t="s">
        <v>6630</v>
      </c>
      <c r="H3745" s="188">
        <v>291.67043000000001</v>
      </c>
      <c r="I3745" s="186">
        <v>10.487109999999999</v>
      </c>
      <c r="J3745" s="85">
        <v>36.062510000000003</v>
      </c>
      <c r="K3745" s="85">
        <v>4179.7746299999999</v>
      </c>
      <c r="L3745" t="s">
        <v>539</v>
      </c>
      <c r="O3745">
        <v>9.7356700000000007</v>
      </c>
      <c r="P3745" t="s">
        <v>10432</v>
      </c>
    </row>
    <row r="3746" spans="1:16" x14ac:dyDescent="0.25">
      <c r="A3746">
        <v>526497</v>
      </c>
      <c r="B3746" t="str">
        <f t="shared" si="116"/>
        <v>SEVROLL 06442 horná vodiaca lišta 2,35m čierna štrukturálna</v>
      </c>
      <c r="C3746" s="185">
        <f t="shared" si="117"/>
        <v>14.52061</v>
      </c>
      <c r="D3746" t="s">
        <v>6592</v>
      </c>
      <c r="E3746" t="s">
        <v>6631</v>
      </c>
      <c r="F3746" t="s">
        <v>6632</v>
      </c>
      <c r="G3746" t="s">
        <v>6633</v>
      </c>
      <c r="H3746" s="188">
        <v>403.85138000000001</v>
      </c>
      <c r="I3746" s="186">
        <v>14.52061</v>
      </c>
      <c r="J3746" s="85">
        <v>49.932699999999997</v>
      </c>
      <c r="K3746" s="85">
        <v>5787.3805000000002</v>
      </c>
      <c r="L3746" t="s">
        <v>539</v>
      </c>
      <c r="O3746">
        <v>13.48016</v>
      </c>
      <c r="P3746" t="s">
        <v>10433</v>
      </c>
    </row>
    <row r="3747" spans="1:16" x14ac:dyDescent="0.25">
      <c r="A3747">
        <v>526500</v>
      </c>
      <c r="B3747" t="str">
        <f t="shared" si="116"/>
        <v>SEVROLL 06124 horná vodiaca lišta 3m čierna štrukturálna</v>
      </c>
      <c r="C3747" s="185">
        <f t="shared" si="117"/>
        <v>18.528089999999999</v>
      </c>
      <c r="D3747" t="s">
        <v>6593</v>
      </c>
      <c r="E3747" t="s">
        <v>6634</v>
      </c>
      <c r="F3747" t="s">
        <v>6635</v>
      </c>
      <c r="G3747" t="s">
        <v>6636</v>
      </c>
      <c r="H3747" s="188">
        <v>515.30856000000006</v>
      </c>
      <c r="I3747" s="186">
        <v>18.528089999999999</v>
      </c>
      <c r="J3747" s="85">
        <v>63.7134</v>
      </c>
      <c r="K3747" s="85">
        <v>7384.61438</v>
      </c>
      <c r="L3747" t="s">
        <v>539</v>
      </c>
      <c r="O3747">
        <v>17.200500000000002</v>
      </c>
      <c r="P3747" t="s">
        <v>10434</v>
      </c>
    </row>
    <row r="3748" spans="1:16" x14ac:dyDescent="0.25">
      <c r="A3748">
        <v>526501</v>
      </c>
      <c r="B3748" t="str">
        <f t="shared" si="116"/>
        <v>SEVROLL 06125 spojovacia lišta H10 3m čierna štrukturálna</v>
      </c>
      <c r="C3748" s="185">
        <f t="shared" si="117"/>
        <v>15.82174</v>
      </c>
      <c r="D3748" t="s">
        <v>6594</v>
      </c>
      <c r="E3748" t="s">
        <v>6637</v>
      </c>
      <c r="F3748" t="s">
        <v>6638</v>
      </c>
      <c r="G3748" t="s">
        <v>6639</v>
      </c>
      <c r="H3748" s="188">
        <v>440.03877999999997</v>
      </c>
      <c r="I3748" s="186">
        <v>15.82174</v>
      </c>
      <c r="J3748" s="85">
        <v>54.406959999999998</v>
      </c>
      <c r="K3748" s="85">
        <v>6305.9629800000002</v>
      </c>
      <c r="L3748" t="s">
        <v>539</v>
      </c>
      <c r="O3748">
        <v>14.68806</v>
      </c>
      <c r="P3748" t="s">
        <v>10435</v>
      </c>
    </row>
    <row r="3749" spans="1:16" x14ac:dyDescent="0.25">
      <c r="A3749">
        <v>526506</v>
      </c>
      <c r="B3749" t="str">
        <f t="shared" si="116"/>
        <v>SEVROLL 06269 Elegant II spodné vedenie 1,7m čierna štrukturálna</v>
      </c>
      <c r="C3749" s="185">
        <f t="shared" si="117"/>
        <v>10.851419999999999</v>
      </c>
      <c r="D3749" t="s">
        <v>6595</v>
      </c>
      <c r="E3749" t="s">
        <v>6640</v>
      </c>
      <c r="F3749" t="s">
        <v>6641</v>
      </c>
      <c r="G3749" t="s">
        <v>6642</v>
      </c>
      <c r="H3749" s="188">
        <v>301.80291999999997</v>
      </c>
      <c r="I3749" s="186">
        <v>10.851419999999999</v>
      </c>
      <c r="J3749" s="85">
        <v>37.315300000000001</v>
      </c>
      <c r="K3749" s="85">
        <v>4324.9779799999997</v>
      </c>
      <c r="L3749" t="s">
        <v>539</v>
      </c>
      <c r="O3749">
        <v>10.07389</v>
      </c>
      <c r="P3749" t="s">
        <v>10436</v>
      </c>
    </row>
    <row r="3750" spans="1:16" x14ac:dyDescent="0.25">
      <c r="A3750">
        <v>526509</v>
      </c>
      <c r="B3750" t="str">
        <f t="shared" si="116"/>
        <v>SEVROLL 06270 Elegant II spodné vedenie 2,35m čierna štrukturálna</v>
      </c>
      <c r="C3750" s="185">
        <f t="shared" si="117"/>
        <v>14.91095</v>
      </c>
      <c r="D3750" t="s">
        <v>6596</v>
      </c>
      <c r="E3750" t="s">
        <v>6643</v>
      </c>
      <c r="F3750" t="s">
        <v>6644</v>
      </c>
      <c r="G3750" t="s">
        <v>6645</v>
      </c>
      <c r="H3750" s="188">
        <v>414.70758000000001</v>
      </c>
      <c r="I3750" s="186">
        <v>14.91095</v>
      </c>
      <c r="J3750" s="85">
        <v>51.274979999999999</v>
      </c>
      <c r="K3750" s="85">
        <v>5942.9550600000002</v>
      </c>
      <c r="L3750" t="s">
        <v>539</v>
      </c>
      <c r="O3750">
        <v>13.84253</v>
      </c>
      <c r="P3750" t="s">
        <v>10437</v>
      </c>
    </row>
    <row r="3751" spans="1:16" x14ac:dyDescent="0.25">
      <c r="A3751">
        <v>526510</v>
      </c>
      <c r="B3751" t="str">
        <f t="shared" si="116"/>
        <v>SEVROLL 06271 Elegant II spodné vedenie 3m čierna štrukturálna</v>
      </c>
      <c r="C3751" s="185">
        <f t="shared" si="117"/>
        <v>18.94445</v>
      </c>
      <c r="D3751" t="s">
        <v>6597</v>
      </c>
      <c r="E3751" t="s">
        <v>6646</v>
      </c>
      <c r="F3751" t="s">
        <v>6647</v>
      </c>
      <c r="G3751" t="s">
        <v>6648</v>
      </c>
      <c r="H3751" s="188">
        <v>526.88854000000003</v>
      </c>
      <c r="I3751" s="186">
        <v>18.94445</v>
      </c>
      <c r="J3751" s="85">
        <v>65.145169999999993</v>
      </c>
      <c r="K3751" s="85">
        <v>7550.5609299999996</v>
      </c>
      <c r="L3751" t="s">
        <v>539</v>
      </c>
      <c r="O3751">
        <v>17.587019999999999</v>
      </c>
      <c r="P3751" t="s">
        <v>10438</v>
      </c>
    </row>
    <row r="3752" spans="1:16" x14ac:dyDescent="0.25">
      <c r="A3752">
        <v>526511</v>
      </c>
      <c r="B3752" t="str">
        <f t="shared" si="116"/>
        <v>SEVROLL 06272 Elegant II spodné vedenie 4,05m čierna štrukturálna</v>
      </c>
      <c r="C3752" s="185">
        <f t="shared" si="117"/>
        <v>25.658280000000001</v>
      </c>
      <c r="D3752" t="s">
        <v>6598</v>
      </c>
      <c r="E3752" t="s">
        <v>6649</v>
      </c>
      <c r="F3752" t="s">
        <v>6650</v>
      </c>
      <c r="G3752" t="s">
        <v>6651</v>
      </c>
      <c r="H3752" s="188">
        <v>713.61551999999995</v>
      </c>
      <c r="I3752" s="186">
        <v>25.658280000000001</v>
      </c>
      <c r="J3752" s="85">
        <v>88.232330000000005</v>
      </c>
      <c r="K3752" s="85">
        <v>10226.44657</v>
      </c>
      <c r="L3752" t="s">
        <v>539</v>
      </c>
      <c r="O3752">
        <v>23.819790000000001</v>
      </c>
      <c r="P3752" t="s">
        <v>10439</v>
      </c>
    </row>
    <row r="3753" spans="1:16" x14ac:dyDescent="0.25">
      <c r="A3753">
        <v>526512</v>
      </c>
      <c r="B3753" t="str">
        <f t="shared" si="116"/>
        <v>SEVROLL 06128 Elegant II spodné vedenie 6m čierna štrukturálna</v>
      </c>
      <c r="C3753" s="185">
        <f t="shared" si="117"/>
        <v>37.914929999999998</v>
      </c>
      <c r="D3753" t="s">
        <v>6599</v>
      </c>
      <c r="E3753" t="s">
        <v>6652</v>
      </c>
      <c r="F3753" t="s">
        <v>6653</v>
      </c>
      <c r="G3753" t="s">
        <v>6654</v>
      </c>
      <c r="H3753" s="188">
        <v>1054.50082</v>
      </c>
      <c r="I3753" s="186">
        <v>37.914929999999998</v>
      </c>
      <c r="J3753" s="85">
        <v>130.37982</v>
      </c>
      <c r="K3753" s="85">
        <v>15111.493469999999</v>
      </c>
      <c r="L3753" t="s">
        <v>539</v>
      </c>
      <c r="O3753">
        <v>35.198210000000003</v>
      </c>
      <c r="P3753" t="s">
        <v>10440</v>
      </c>
    </row>
    <row r="3754" spans="1:16" x14ac:dyDescent="0.25">
      <c r="A3754">
        <v>526516</v>
      </c>
      <c r="B3754" t="str">
        <f t="shared" si="116"/>
        <v>SEVROLL 06285 Gemini horné  vedenie 1,7m čierna štrukturálna</v>
      </c>
      <c r="C3754" s="185">
        <f t="shared" si="117"/>
        <v>18.39798</v>
      </c>
      <c r="D3754" t="s">
        <v>6600</v>
      </c>
      <c r="E3754" t="s">
        <v>6655</v>
      </c>
      <c r="F3754" t="s">
        <v>6656</v>
      </c>
      <c r="G3754" t="s">
        <v>6657</v>
      </c>
      <c r="H3754" s="188">
        <v>511.68982999999997</v>
      </c>
      <c r="I3754" s="186">
        <v>18.39798</v>
      </c>
      <c r="J3754" s="85">
        <v>63.265970000000003</v>
      </c>
      <c r="K3754" s="85">
        <v>7332.7563300000002</v>
      </c>
      <c r="L3754" t="s">
        <v>539</v>
      </c>
      <c r="O3754">
        <v>17.079709999999999</v>
      </c>
      <c r="P3754" t="s">
        <v>10441</v>
      </c>
    </row>
    <row r="3755" spans="1:16" x14ac:dyDescent="0.25">
      <c r="A3755">
        <v>526519</v>
      </c>
      <c r="B3755" t="str">
        <f t="shared" si="116"/>
        <v>SEVROLL 06286 Gemini horné vedenie 2,35m čierna štrukturálna</v>
      </c>
      <c r="C3755" s="185">
        <f t="shared" si="117"/>
        <v>25.450099999999999</v>
      </c>
      <c r="D3755" t="s">
        <v>6601</v>
      </c>
      <c r="E3755" t="s">
        <v>6658</v>
      </c>
      <c r="F3755" t="s">
        <v>6659</v>
      </c>
      <c r="G3755" t="s">
        <v>6660</v>
      </c>
      <c r="H3755" s="188">
        <v>707.82552999999996</v>
      </c>
      <c r="I3755" s="186">
        <v>25.450099999999999</v>
      </c>
      <c r="J3755" s="85">
        <v>87.516450000000006</v>
      </c>
      <c r="K3755" s="85">
        <v>10143.473319999999</v>
      </c>
      <c r="L3755" t="s">
        <v>539</v>
      </c>
      <c r="O3755">
        <v>23.626519999999999</v>
      </c>
      <c r="P3755" t="s">
        <v>10442</v>
      </c>
    </row>
    <row r="3756" spans="1:16" x14ac:dyDescent="0.25">
      <c r="A3756">
        <v>526520</v>
      </c>
      <c r="B3756" t="str">
        <f t="shared" si="116"/>
        <v>SEVROLL 06287 Gemini horné  vedenie 3m čierna štrukturálna</v>
      </c>
      <c r="C3756" s="185">
        <f t="shared" si="117"/>
        <v>32.476199999999999</v>
      </c>
      <c r="D3756" t="s">
        <v>6602</v>
      </c>
      <c r="E3756" t="s">
        <v>6661</v>
      </c>
      <c r="F3756" t="s">
        <v>6662</v>
      </c>
      <c r="G3756" t="s">
        <v>6663</v>
      </c>
      <c r="H3756" s="188">
        <v>903.23748000000001</v>
      </c>
      <c r="I3756" s="186">
        <v>32.476199999999999</v>
      </c>
      <c r="J3756" s="85">
        <v>111.67742</v>
      </c>
      <c r="K3756" s="85">
        <v>12943.81868</v>
      </c>
      <c r="L3756" t="s">
        <v>539</v>
      </c>
      <c r="O3756">
        <v>30.149180000000001</v>
      </c>
      <c r="P3756" t="s">
        <v>10443</v>
      </c>
    </row>
    <row r="3757" spans="1:16" x14ac:dyDescent="0.25">
      <c r="A3757">
        <v>526521</v>
      </c>
      <c r="B3757" t="str">
        <f t="shared" si="116"/>
        <v>SEVROLL 06288 Gemini horné vedenie  4,05m čierna štrukturálna</v>
      </c>
      <c r="C3757" s="185">
        <f t="shared" si="117"/>
        <v>43.848080000000003</v>
      </c>
      <c r="D3757" t="s">
        <v>6603</v>
      </c>
      <c r="E3757" t="s">
        <v>6664</v>
      </c>
      <c r="F3757" t="s">
        <v>6665</v>
      </c>
      <c r="G3757" t="s">
        <v>6666</v>
      </c>
      <c r="H3757" s="188">
        <v>1219.5153600000001</v>
      </c>
      <c r="I3757" s="186">
        <v>43.848080000000003</v>
      </c>
      <c r="J3757" s="85">
        <v>150.78242</v>
      </c>
      <c r="K3757" s="85">
        <v>17476.229630000002</v>
      </c>
      <c r="L3757" t="s">
        <v>539</v>
      </c>
      <c r="O3757">
        <v>40.706229999999998</v>
      </c>
      <c r="P3757" t="s">
        <v>10444</v>
      </c>
    </row>
    <row r="3758" spans="1:16" x14ac:dyDescent="0.25">
      <c r="A3758">
        <v>526522</v>
      </c>
      <c r="B3758" t="str">
        <f t="shared" si="116"/>
        <v>SEVROLL 06154 Gemini horné vedenie 6m čierna štrukturálna</v>
      </c>
      <c r="C3758" s="185">
        <f t="shared" si="117"/>
        <v>64.95241</v>
      </c>
      <c r="D3758" t="s">
        <v>6604</v>
      </c>
      <c r="E3758" t="s">
        <v>6667</v>
      </c>
      <c r="F3758" t="s">
        <v>6668</v>
      </c>
      <c r="G3758" t="s">
        <v>6669</v>
      </c>
      <c r="H3758" s="188">
        <v>1806.47497</v>
      </c>
      <c r="I3758" s="186">
        <v>64.95241</v>
      </c>
      <c r="J3758" s="85">
        <v>223.35486</v>
      </c>
      <c r="K3758" s="85">
        <v>25887.637350000001</v>
      </c>
      <c r="L3758" t="s">
        <v>539</v>
      </c>
      <c r="O3758">
        <v>60.298369999999998</v>
      </c>
      <c r="P3758" t="s">
        <v>10445</v>
      </c>
    </row>
    <row r="3759" spans="1:16" x14ac:dyDescent="0.25">
      <c r="A3759">
        <v>526524</v>
      </c>
      <c r="B3759" t="str">
        <f t="shared" si="116"/>
        <v>SEVROLL 06301 maska Elegant II 1,7m čierna štrukturálna</v>
      </c>
      <c r="C3759" s="185">
        <f t="shared" si="117"/>
        <v>3.3308900000000001</v>
      </c>
      <c r="D3759" t="s">
        <v>6605</v>
      </c>
      <c r="E3759" t="s">
        <v>6670</v>
      </c>
      <c r="F3759" t="s">
        <v>6671</v>
      </c>
      <c r="G3759" t="s">
        <v>6672</v>
      </c>
      <c r="H3759" s="188">
        <v>92.639750000000006</v>
      </c>
      <c r="I3759" s="186">
        <v>3.3308900000000001</v>
      </c>
      <c r="J3759" s="85">
        <v>11.454090000000001</v>
      </c>
      <c r="K3759" s="85">
        <v>1327.57123</v>
      </c>
      <c r="L3759" t="s">
        <v>539</v>
      </c>
      <c r="O3759">
        <v>3.0922200000000002</v>
      </c>
      <c r="P3759" t="s">
        <v>10446</v>
      </c>
    </row>
    <row r="3760" spans="1:16" x14ac:dyDescent="0.25">
      <c r="A3760">
        <v>526525</v>
      </c>
      <c r="B3760" t="str">
        <f t="shared" si="116"/>
        <v>SEVROLL 06302 maska Elegant II 2,35m čierna štrukturálna</v>
      </c>
      <c r="C3760" s="185">
        <f t="shared" si="117"/>
        <v>4.6059999999999999</v>
      </c>
      <c r="D3760" t="s">
        <v>6606</v>
      </c>
      <c r="E3760" t="s">
        <v>6673</v>
      </c>
      <c r="F3760" t="s">
        <v>6674</v>
      </c>
      <c r="G3760" t="s">
        <v>6675</v>
      </c>
      <c r="H3760" s="188">
        <v>128.10339999999999</v>
      </c>
      <c r="I3760" s="186">
        <v>4.6059999999999999</v>
      </c>
      <c r="J3760" s="85">
        <v>15.83888</v>
      </c>
      <c r="K3760" s="85">
        <v>1835.78208</v>
      </c>
      <c r="L3760" t="s">
        <v>539</v>
      </c>
      <c r="O3760">
        <v>4.27597</v>
      </c>
      <c r="P3760" t="s">
        <v>10447</v>
      </c>
    </row>
    <row r="3761" spans="1:16" x14ac:dyDescent="0.25">
      <c r="A3761">
        <v>526526</v>
      </c>
      <c r="B3761" t="str">
        <f t="shared" si="116"/>
        <v>SEVROLL 06303 maska Elegant II 3m čierna štrukturálna</v>
      </c>
      <c r="C3761" s="185">
        <f t="shared" si="117"/>
        <v>5.8811099999999996</v>
      </c>
      <c r="D3761" t="s">
        <v>6607</v>
      </c>
      <c r="E3761" t="s">
        <v>6676</v>
      </c>
      <c r="F3761" t="s">
        <v>6677</v>
      </c>
      <c r="G3761" t="s">
        <v>6678</v>
      </c>
      <c r="H3761" s="188">
        <v>163.56704999999999</v>
      </c>
      <c r="I3761" s="186">
        <v>5.8811099999999996</v>
      </c>
      <c r="J3761" s="85">
        <v>20.22364</v>
      </c>
      <c r="K3761" s="85">
        <v>2343.9929499999998</v>
      </c>
      <c r="L3761" t="s">
        <v>539</v>
      </c>
      <c r="O3761">
        <v>5.4597100000000003</v>
      </c>
      <c r="P3761" t="s">
        <v>10448</v>
      </c>
    </row>
    <row r="3762" spans="1:16" x14ac:dyDescent="0.25">
      <c r="A3762">
        <v>526527</v>
      </c>
      <c r="B3762" t="str">
        <f t="shared" si="116"/>
        <v>SEVROLL 06304 maska Elegant II 4,05m čierna štrukturálna</v>
      </c>
      <c r="C3762" s="185">
        <f t="shared" si="117"/>
        <v>7.93689</v>
      </c>
      <c r="D3762" t="s">
        <v>6608</v>
      </c>
      <c r="E3762" t="s">
        <v>6679</v>
      </c>
      <c r="F3762" t="s">
        <v>6680</v>
      </c>
      <c r="G3762" t="s">
        <v>6681</v>
      </c>
      <c r="H3762" s="188">
        <v>220.74315000000001</v>
      </c>
      <c r="I3762" s="186">
        <v>7.93689</v>
      </c>
      <c r="J3762" s="85">
        <v>27.29297</v>
      </c>
      <c r="K3762" s="85">
        <v>3163.3533000000002</v>
      </c>
      <c r="L3762" t="s">
        <v>539</v>
      </c>
      <c r="O3762">
        <v>7.3681900000000002</v>
      </c>
      <c r="P3762" t="s">
        <v>10449</v>
      </c>
    </row>
    <row r="3763" spans="1:16" x14ac:dyDescent="0.25">
      <c r="A3763">
        <v>526528</v>
      </c>
      <c r="B3763" t="str">
        <f t="shared" si="116"/>
        <v>SEVROLL 06157 maska Elegant II 6m čierna štrukturálna</v>
      </c>
      <c r="C3763" s="185">
        <f t="shared" si="117"/>
        <v>11.762219999999999</v>
      </c>
      <c r="D3763" t="s">
        <v>6609</v>
      </c>
      <c r="E3763" t="s">
        <v>6682</v>
      </c>
      <c r="F3763" t="s">
        <v>6683</v>
      </c>
      <c r="G3763" t="s">
        <v>6684</v>
      </c>
      <c r="H3763" s="188">
        <v>327.13407999999998</v>
      </c>
      <c r="I3763" s="186">
        <v>11.762219999999999</v>
      </c>
      <c r="J3763" s="85">
        <v>40.447279999999999</v>
      </c>
      <c r="K3763" s="85">
        <v>4687.9854999999998</v>
      </c>
      <c r="L3763" t="s">
        <v>539</v>
      </c>
      <c r="O3763">
        <v>10.919420000000001</v>
      </c>
      <c r="P3763" t="s">
        <v>10450</v>
      </c>
    </row>
    <row r="3764" spans="1:16" x14ac:dyDescent="0.25">
      <c r="A3764">
        <v>524825</v>
      </c>
      <c r="B3764" t="str">
        <f t="shared" si="116"/>
        <v>SEVROLL 06438 Alfa II úchytková lišta 16/18mm 2,7m čierna štrukturálna</v>
      </c>
      <c r="C3764" s="185">
        <f t="shared" si="117"/>
        <v>16.446280000000002</v>
      </c>
      <c r="D3764" t="s">
        <v>6611</v>
      </c>
      <c r="E3764" t="s">
        <v>6688</v>
      </c>
      <c r="F3764" t="s">
        <v>6689</v>
      </c>
      <c r="G3764" t="s">
        <v>6690</v>
      </c>
      <c r="H3764" s="188">
        <v>457.40872000000002</v>
      </c>
      <c r="I3764" s="186">
        <v>16.446280000000002</v>
      </c>
      <c r="J3764" s="85">
        <v>56.554600000000001</v>
      </c>
      <c r="K3764" s="85">
        <v>6554.8824199999999</v>
      </c>
      <c r="L3764" t="s">
        <v>539</v>
      </c>
      <c r="O3764">
        <v>15.267860000000001</v>
      </c>
      <c r="P3764" t="s">
        <v>10452</v>
      </c>
    </row>
    <row r="3765" spans="1:16" x14ac:dyDescent="0.25">
      <c r="A3765">
        <v>526502</v>
      </c>
      <c r="B3765" t="str">
        <f t="shared" si="116"/>
        <v>SEVROLL 06434 uholník Mini 17x11mm 1,7m čierna štrukturálna</v>
      </c>
      <c r="C3765" s="185">
        <f t="shared" si="117"/>
        <v>3.17476</v>
      </c>
      <c r="D3765" t="s">
        <v>6612</v>
      </c>
      <c r="E3765" t="s">
        <v>6691</v>
      </c>
      <c r="F3765" t="s">
        <v>6692</v>
      </c>
      <c r="G3765" t="s">
        <v>6693</v>
      </c>
      <c r="H3765" s="188">
        <v>88.297250000000005</v>
      </c>
      <c r="I3765" s="186">
        <v>3.17476</v>
      </c>
      <c r="J3765" s="85">
        <v>10.91719</v>
      </c>
      <c r="K3765" s="85">
        <v>1265.3411599999999</v>
      </c>
      <c r="L3765" t="s">
        <v>539</v>
      </c>
      <c r="O3765">
        <v>2.9472800000000001</v>
      </c>
      <c r="P3765" t="s">
        <v>10453</v>
      </c>
    </row>
    <row r="3766" spans="1:16" x14ac:dyDescent="0.25">
      <c r="A3766">
        <v>526503</v>
      </c>
      <c r="B3766" t="str">
        <f t="shared" si="116"/>
        <v>SEVROLL 06435 uholník17x11mm 2,35m čierna štrukturálna</v>
      </c>
      <c r="C3766" s="185">
        <f t="shared" si="117"/>
        <v>4.3978200000000003</v>
      </c>
      <c r="D3766" t="s">
        <v>6613</v>
      </c>
      <c r="E3766" t="s">
        <v>6694</v>
      </c>
      <c r="F3766" t="s">
        <v>6695</v>
      </c>
      <c r="G3766" t="s">
        <v>6696</v>
      </c>
      <c r="H3766" s="188">
        <v>122.31341</v>
      </c>
      <c r="I3766" s="186">
        <v>4.3978200000000003</v>
      </c>
      <c r="J3766" s="85">
        <v>15.12299</v>
      </c>
      <c r="K3766" s="85">
        <v>1752.8088</v>
      </c>
      <c r="L3766" t="s">
        <v>539</v>
      </c>
      <c r="O3766">
        <v>4.0827</v>
      </c>
      <c r="P3766" t="s">
        <v>10454</v>
      </c>
    </row>
    <row r="3767" spans="1:16" x14ac:dyDescent="0.25">
      <c r="A3767">
        <v>526504</v>
      </c>
      <c r="B3767" t="str">
        <f t="shared" si="116"/>
        <v>SEVROLL 06436 uholník Mini 17x11mm 3m čierna štrukturálna</v>
      </c>
      <c r="C3767" s="185">
        <f t="shared" si="117"/>
        <v>5.6208799999999997</v>
      </c>
      <c r="D3767" t="s">
        <v>6614</v>
      </c>
      <c r="E3767" t="s">
        <v>6697</v>
      </c>
      <c r="F3767" t="s">
        <v>6698</v>
      </c>
      <c r="G3767" t="s">
        <v>6699</v>
      </c>
      <c r="H3767" s="188">
        <v>156.32956999999999</v>
      </c>
      <c r="I3767" s="186">
        <v>5.6208799999999997</v>
      </c>
      <c r="J3767" s="85">
        <v>19.328800000000001</v>
      </c>
      <c r="K3767" s="85">
        <v>2240.27646</v>
      </c>
      <c r="L3767" t="s">
        <v>539</v>
      </c>
      <c r="O3767">
        <v>5.2181300000000004</v>
      </c>
      <c r="P3767" t="s">
        <v>10455</v>
      </c>
    </row>
    <row r="3768" spans="1:16" x14ac:dyDescent="0.25">
      <c r="A3768">
        <v>526505</v>
      </c>
      <c r="B3768" t="str">
        <f t="shared" si="116"/>
        <v>SEVROLL 06437 spojovacia  lišta H18 3m čierna štrukturálna</v>
      </c>
      <c r="C3768" s="185">
        <f t="shared" si="117"/>
        <v>15.587540000000001</v>
      </c>
      <c r="D3768" t="s">
        <v>6615</v>
      </c>
      <c r="E3768" t="s">
        <v>6700</v>
      </c>
      <c r="F3768" t="s">
        <v>6701</v>
      </c>
      <c r="G3768" t="s">
        <v>6702</v>
      </c>
      <c r="H3768" s="188">
        <v>433.52503999999999</v>
      </c>
      <c r="I3768" s="186">
        <v>15.587540000000001</v>
      </c>
      <c r="J3768" s="85">
        <v>53.601579999999998</v>
      </c>
      <c r="K3768" s="85">
        <v>6212.6180999999997</v>
      </c>
      <c r="L3768" t="s">
        <v>539</v>
      </c>
      <c r="O3768">
        <v>14.47064</v>
      </c>
      <c r="P3768" t="s">
        <v>10456</v>
      </c>
    </row>
    <row r="3769" spans="1:16" x14ac:dyDescent="0.25">
      <c r="A3769">
        <v>526506</v>
      </c>
      <c r="B3769" t="str">
        <f t="shared" si="116"/>
        <v>SEVROLL 06269 Elegant II spodné vedenie 1,7m čierna štrukturálna</v>
      </c>
      <c r="C3769" s="185">
        <f t="shared" si="117"/>
        <v>10.851419999999999</v>
      </c>
      <c r="D3769" t="s">
        <v>6595</v>
      </c>
      <c r="E3769" t="s">
        <v>6640</v>
      </c>
      <c r="F3769" t="s">
        <v>6641</v>
      </c>
      <c r="G3769" t="s">
        <v>6642</v>
      </c>
      <c r="H3769" s="188">
        <v>301.80291999999997</v>
      </c>
      <c r="I3769" s="186">
        <v>10.851419999999999</v>
      </c>
      <c r="J3769" s="85">
        <v>37.315300000000001</v>
      </c>
      <c r="K3769" s="85">
        <v>4324.9779799999997</v>
      </c>
      <c r="L3769" t="s">
        <v>539</v>
      </c>
      <c r="O3769">
        <v>10.07389</v>
      </c>
      <c r="P3769" t="s">
        <v>10436</v>
      </c>
    </row>
    <row r="3770" spans="1:16" x14ac:dyDescent="0.25">
      <c r="A3770">
        <v>526509</v>
      </c>
      <c r="B3770" t="str">
        <f t="shared" si="116"/>
        <v>SEVROLL 06270 Elegant II spodné vedenie 2,35m čierna štrukturálna</v>
      </c>
      <c r="C3770" s="185">
        <f t="shared" si="117"/>
        <v>14.91095</v>
      </c>
      <c r="D3770" t="s">
        <v>6596</v>
      </c>
      <c r="E3770" t="s">
        <v>6643</v>
      </c>
      <c r="F3770" t="s">
        <v>6644</v>
      </c>
      <c r="G3770" t="s">
        <v>6645</v>
      </c>
      <c r="H3770" s="188">
        <v>414.70758000000001</v>
      </c>
      <c r="I3770" s="186">
        <v>14.91095</v>
      </c>
      <c r="J3770" s="85">
        <v>51.274979999999999</v>
      </c>
      <c r="K3770" s="85">
        <v>5942.9550600000002</v>
      </c>
      <c r="L3770" t="s">
        <v>539</v>
      </c>
      <c r="O3770">
        <v>13.84253</v>
      </c>
      <c r="P3770" t="s">
        <v>10437</v>
      </c>
    </row>
    <row r="3771" spans="1:16" x14ac:dyDescent="0.25">
      <c r="A3771">
        <v>526510</v>
      </c>
      <c r="B3771" t="str">
        <f t="shared" si="116"/>
        <v>SEVROLL 06271 Elegant II spodné vedenie 3m čierna štrukturálna</v>
      </c>
      <c r="C3771" s="185">
        <f t="shared" si="117"/>
        <v>18.94445</v>
      </c>
      <c r="D3771" t="s">
        <v>6597</v>
      </c>
      <c r="E3771" t="s">
        <v>6646</v>
      </c>
      <c r="F3771" t="s">
        <v>6647</v>
      </c>
      <c r="G3771" t="s">
        <v>6648</v>
      </c>
      <c r="H3771" s="188">
        <v>526.88854000000003</v>
      </c>
      <c r="I3771" s="186">
        <v>18.94445</v>
      </c>
      <c r="J3771" s="85">
        <v>65.145169999999993</v>
      </c>
      <c r="K3771" s="85">
        <v>7550.5609299999996</v>
      </c>
      <c r="L3771" t="s">
        <v>539</v>
      </c>
      <c r="O3771">
        <v>17.587019999999999</v>
      </c>
      <c r="P3771" t="s">
        <v>10438</v>
      </c>
    </row>
    <row r="3772" spans="1:16" x14ac:dyDescent="0.25">
      <c r="A3772">
        <v>526511</v>
      </c>
      <c r="B3772" t="str">
        <f t="shared" si="116"/>
        <v>SEVROLL 06272 Elegant II spodné vedenie 4,05m čierna štrukturálna</v>
      </c>
      <c r="C3772" s="185">
        <f t="shared" si="117"/>
        <v>25.658280000000001</v>
      </c>
      <c r="D3772" t="s">
        <v>6598</v>
      </c>
      <c r="E3772" t="s">
        <v>6649</v>
      </c>
      <c r="F3772" t="s">
        <v>6650</v>
      </c>
      <c r="G3772" t="s">
        <v>6651</v>
      </c>
      <c r="H3772" s="188">
        <v>713.61551999999995</v>
      </c>
      <c r="I3772" s="186">
        <v>25.658280000000001</v>
      </c>
      <c r="J3772" s="85">
        <v>88.232330000000005</v>
      </c>
      <c r="K3772" s="85">
        <v>10226.44657</v>
      </c>
      <c r="L3772" t="s">
        <v>539</v>
      </c>
      <c r="O3772">
        <v>23.819790000000001</v>
      </c>
      <c r="P3772" t="s">
        <v>10439</v>
      </c>
    </row>
    <row r="3773" spans="1:16" x14ac:dyDescent="0.25">
      <c r="A3773">
        <v>526512</v>
      </c>
      <c r="B3773" t="str">
        <f t="shared" si="116"/>
        <v>SEVROLL 06128 Elegant II spodné vedenie 6m čierna štrukturálna</v>
      </c>
      <c r="C3773" s="185">
        <f t="shared" si="117"/>
        <v>37.914929999999998</v>
      </c>
      <c r="D3773" t="s">
        <v>6599</v>
      </c>
      <c r="E3773" t="s">
        <v>6652</v>
      </c>
      <c r="F3773" t="s">
        <v>6653</v>
      </c>
      <c r="G3773" t="s">
        <v>6654</v>
      </c>
      <c r="H3773" s="188">
        <v>1054.50082</v>
      </c>
      <c r="I3773" s="186">
        <v>37.914929999999998</v>
      </c>
      <c r="J3773" s="85">
        <v>130.37982</v>
      </c>
      <c r="K3773" s="85">
        <v>15111.493469999999</v>
      </c>
      <c r="L3773" t="s">
        <v>539</v>
      </c>
      <c r="O3773">
        <v>35.198210000000003</v>
      </c>
      <c r="P3773" t="s">
        <v>10440</v>
      </c>
    </row>
    <row r="3774" spans="1:16" x14ac:dyDescent="0.25">
      <c r="A3774">
        <v>526516</v>
      </c>
      <c r="B3774" t="str">
        <f t="shared" si="116"/>
        <v>SEVROLL 06285 Gemini horné  vedenie 1,7m čierna štrukturálna</v>
      </c>
      <c r="C3774" s="185">
        <f t="shared" si="117"/>
        <v>18.39798</v>
      </c>
      <c r="D3774" t="s">
        <v>6600</v>
      </c>
      <c r="E3774" t="s">
        <v>6655</v>
      </c>
      <c r="F3774" t="s">
        <v>6656</v>
      </c>
      <c r="G3774" t="s">
        <v>6657</v>
      </c>
      <c r="H3774" s="188">
        <v>511.68982999999997</v>
      </c>
      <c r="I3774" s="186">
        <v>18.39798</v>
      </c>
      <c r="J3774" s="85">
        <v>63.265970000000003</v>
      </c>
      <c r="K3774" s="85">
        <v>7332.7563300000002</v>
      </c>
      <c r="L3774" t="s">
        <v>539</v>
      </c>
      <c r="O3774">
        <v>17.079709999999999</v>
      </c>
      <c r="P3774" t="s">
        <v>10441</v>
      </c>
    </row>
    <row r="3775" spans="1:16" x14ac:dyDescent="0.25">
      <c r="A3775">
        <v>526519</v>
      </c>
      <c r="B3775" t="str">
        <f t="shared" si="116"/>
        <v>SEVROLL 06286 Gemini horné vedenie 2,35m čierna štrukturálna</v>
      </c>
      <c r="C3775" s="185">
        <f t="shared" si="117"/>
        <v>25.450099999999999</v>
      </c>
      <c r="D3775" t="s">
        <v>6601</v>
      </c>
      <c r="E3775" t="s">
        <v>6658</v>
      </c>
      <c r="F3775" t="s">
        <v>6659</v>
      </c>
      <c r="G3775" t="s">
        <v>6660</v>
      </c>
      <c r="H3775" s="188">
        <v>707.82552999999996</v>
      </c>
      <c r="I3775" s="186">
        <v>25.450099999999999</v>
      </c>
      <c r="J3775" s="85">
        <v>87.516450000000006</v>
      </c>
      <c r="K3775" s="85">
        <v>10143.473319999999</v>
      </c>
      <c r="L3775" t="s">
        <v>539</v>
      </c>
      <c r="O3775">
        <v>23.626519999999999</v>
      </c>
      <c r="P3775" t="s">
        <v>10442</v>
      </c>
    </row>
    <row r="3776" spans="1:16" x14ac:dyDescent="0.25">
      <c r="A3776">
        <v>526520</v>
      </c>
      <c r="B3776" t="str">
        <f t="shared" si="116"/>
        <v>SEVROLL 06287 Gemini horné  vedenie 3m čierna štrukturálna</v>
      </c>
      <c r="C3776" s="185">
        <f t="shared" si="117"/>
        <v>32.476199999999999</v>
      </c>
      <c r="D3776" t="s">
        <v>6602</v>
      </c>
      <c r="E3776" t="s">
        <v>6661</v>
      </c>
      <c r="F3776" t="s">
        <v>6662</v>
      </c>
      <c r="G3776" t="s">
        <v>6663</v>
      </c>
      <c r="H3776" s="188">
        <v>903.23748000000001</v>
      </c>
      <c r="I3776" s="186">
        <v>32.476199999999999</v>
      </c>
      <c r="J3776" s="85">
        <v>111.67742</v>
      </c>
      <c r="K3776" s="85">
        <v>12943.81868</v>
      </c>
      <c r="L3776" t="s">
        <v>539</v>
      </c>
      <c r="O3776">
        <v>30.149180000000001</v>
      </c>
      <c r="P3776" t="s">
        <v>10443</v>
      </c>
    </row>
    <row r="3777" spans="1:16" x14ac:dyDescent="0.25">
      <c r="A3777">
        <v>526521</v>
      </c>
      <c r="B3777" t="str">
        <f t="shared" si="116"/>
        <v>SEVROLL 06288 Gemini horné vedenie  4,05m čierna štrukturálna</v>
      </c>
      <c r="C3777" s="185">
        <f t="shared" si="117"/>
        <v>43.848080000000003</v>
      </c>
      <c r="D3777" t="s">
        <v>6603</v>
      </c>
      <c r="E3777" t="s">
        <v>6664</v>
      </c>
      <c r="F3777" t="s">
        <v>6665</v>
      </c>
      <c r="G3777" t="s">
        <v>6666</v>
      </c>
      <c r="H3777" s="188">
        <v>1219.5153600000001</v>
      </c>
      <c r="I3777" s="186">
        <v>43.848080000000003</v>
      </c>
      <c r="J3777" s="85">
        <v>150.78242</v>
      </c>
      <c r="K3777" s="85">
        <v>17476.229630000002</v>
      </c>
      <c r="L3777" t="s">
        <v>539</v>
      </c>
      <c r="O3777">
        <v>40.706229999999998</v>
      </c>
      <c r="P3777" t="s">
        <v>10444</v>
      </c>
    </row>
    <row r="3778" spans="1:16" x14ac:dyDescent="0.25">
      <c r="A3778">
        <v>526522</v>
      </c>
      <c r="B3778" t="str">
        <f t="shared" si="116"/>
        <v>SEVROLL 06154 Gemini horné vedenie 6m čierna štrukturálna</v>
      </c>
      <c r="C3778" s="185">
        <f t="shared" si="117"/>
        <v>64.95241</v>
      </c>
      <c r="D3778" t="s">
        <v>6604</v>
      </c>
      <c r="E3778" t="s">
        <v>6667</v>
      </c>
      <c r="F3778" t="s">
        <v>6668</v>
      </c>
      <c r="G3778" t="s">
        <v>6669</v>
      </c>
      <c r="H3778" s="188">
        <v>1806.47497</v>
      </c>
      <c r="I3778" s="186">
        <v>64.95241</v>
      </c>
      <c r="J3778" s="85">
        <v>223.35486</v>
      </c>
      <c r="K3778" s="85">
        <v>25887.637350000001</v>
      </c>
      <c r="L3778" t="s">
        <v>539</v>
      </c>
      <c r="O3778">
        <v>60.298369999999998</v>
      </c>
      <c r="P3778" t="s">
        <v>10445</v>
      </c>
    </row>
    <row r="3779" spans="1:16" x14ac:dyDescent="0.25">
      <c r="A3779">
        <v>526524</v>
      </c>
      <c r="B3779" t="str">
        <f t="shared" si="116"/>
        <v>SEVROLL 06301 maska Elegant II 1,7m čierna štrukturálna</v>
      </c>
      <c r="C3779" s="185">
        <f t="shared" si="117"/>
        <v>3.3308900000000001</v>
      </c>
      <c r="D3779" t="s">
        <v>6605</v>
      </c>
      <c r="E3779" t="s">
        <v>6670</v>
      </c>
      <c r="F3779" t="s">
        <v>6671</v>
      </c>
      <c r="G3779" t="s">
        <v>6672</v>
      </c>
      <c r="H3779" s="188">
        <v>92.639750000000006</v>
      </c>
      <c r="I3779" s="186">
        <v>3.3308900000000001</v>
      </c>
      <c r="J3779" s="85">
        <v>11.454090000000001</v>
      </c>
      <c r="K3779" s="85">
        <v>1327.57123</v>
      </c>
      <c r="L3779" t="s">
        <v>539</v>
      </c>
      <c r="O3779">
        <v>3.0922200000000002</v>
      </c>
      <c r="P3779" t="s">
        <v>10446</v>
      </c>
    </row>
    <row r="3780" spans="1:16" x14ac:dyDescent="0.25">
      <c r="A3780">
        <v>526525</v>
      </c>
      <c r="B3780" t="str">
        <f>IF($A$2=1,D3780,IF($A$2=2,F3780,IF($A$2=3,G3780,IF($A$2=4,E3780,IF($A$2&gt;4,P3780,"zadat jazyk")))))</f>
        <v>SEVROLL 06302 maska Elegant II 2,35m čierna štrukturálna</v>
      </c>
      <c r="C3780" s="185">
        <f>IF($A$2=1,H3780,IF($A$2=2,I3780,IF($A$2=3,J3780,IF($A$2=4,K3780,IF($A$2&gt;4,O3780,"zadat jazyk")))))</f>
        <v>4.6059999999999999</v>
      </c>
      <c r="D3780" t="s">
        <v>6606</v>
      </c>
      <c r="E3780" t="s">
        <v>6673</v>
      </c>
      <c r="F3780" t="s">
        <v>6674</v>
      </c>
      <c r="G3780" t="s">
        <v>6675</v>
      </c>
      <c r="H3780" s="188">
        <v>128.10339999999999</v>
      </c>
      <c r="I3780" s="186">
        <v>4.6059999999999999</v>
      </c>
      <c r="J3780" s="85">
        <v>15.83888</v>
      </c>
      <c r="K3780" s="85">
        <v>1835.78208</v>
      </c>
      <c r="L3780" t="s">
        <v>539</v>
      </c>
      <c r="O3780">
        <v>4.27597</v>
      </c>
      <c r="P3780" t="s">
        <v>10447</v>
      </c>
    </row>
    <row r="3781" spans="1:16" x14ac:dyDescent="0.25">
      <c r="A3781">
        <v>526526</v>
      </c>
      <c r="B3781" t="str">
        <f>IF($A$2=1,D3781,IF($A$2=2,F3781,IF($A$2=3,G3781,IF($A$2=4,E3781,IF($A$2&gt;4,P3781,"zadat jazyk")))))</f>
        <v>SEVROLL 06303 maska Elegant II 3m čierna štrukturálna</v>
      </c>
      <c r="C3781" s="185">
        <f>IF($A$2=1,H3781,IF($A$2=2,I3781,IF($A$2=3,J3781,IF($A$2=4,K3781,IF($A$2&gt;4,O3781,"zadat jazyk")))))</f>
        <v>5.8811099999999996</v>
      </c>
      <c r="D3781" t="s">
        <v>6607</v>
      </c>
      <c r="E3781" t="s">
        <v>6676</v>
      </c>
      <c r="F3781" t="s">
        <v>6677</v>
      </c>
      <c r="G3781" t="s">
        <v>6678</v>
      </c>
      <c r="H3781" s="188">
        <v>163.56704999999999</v>
      </c>
      <c r="I3781" s="186">
        <v>5.8811099999999996</v>
      </c>
      <c r="J3781" s="85">
        <v>20.22364</v>
      </c>
      <c r="K3781" s="85">
        <v>2343.9929499999998</v>
      </c>
      <c r="L3781" t="s">
        <v>539</v>
      </c>
      <c r="O3781">
        <v>5.4597100000000003</v>
      </c>
      <c r="P3781" t="s">
        <v>10448</v>
      </c>
    </row>
    <row r="3782" spans="1:16" x14ac:dyDescent="0.25">
      <c r="A3782">
        <v>526527</v>
      </c>
      <c r="B3782" t="str">
        <f>IF($A$2=1,D3782,IF($A$2=2,F3782,IF($A$2=3,G3782,IF($A$2=4,E3782,IF($A$2&gt;4,P3782,"zadat jazyk")))))</f>
        <v>SEVROLL 06304 maska Elegant II 4,05m čierna štrukturálna</v>
      </c>
      <c r="C3782" s="185">
        <f>IF($A$2=1,H3782,IF($A$2=2,I3782,IF($A$2=3,J3782,IF($A$2=4,K3782,IF($A$2&gt;4,O3782,"zadat jazyk")))))</f>
        <v>7.93689</v>
      </c>
      <c r="D3782" t="s">
        <v>6608</v>
      </c>
      <c r="E3782" t="s">
        <v>6679</v>
      </c>
      <c r="F3782" t="s">
        <v>6680</v>
      </c>
      <c r="G3782" t="s">
        <v>6681</v>
      </c>
      <c r="H3782" s="188">
        <v>220.74315000000001</v>
      </c>
      <c r="I3782" s="186">
        <v>7.93689</v>
      </c>
      <c r="J3782" s="85">
        <v>27.29297</v>
      </c>
      <c r="K3782" s="85">
        <v>3163.3533000000002</v>
      </c>
      <c r="L3782" t="s">
        <v>539</v>
      </c>
      <c r="O3782">
        <v>7.3681900000000002</v>
      </c>
      <c r="P3782" t="s">
        <v>10449</v>
      </c>
    </row>
    <row r="3783" spans="1:16" x14ac:dyDescent="0.25">
      <c r="A3783">
        <v>526528</v>
      </c>
      <c r="B3783" t="str">
        <f>IF($A$2=1,D3783,IF($A$2=2,F3783,IF($A$2=3,G3783,IF($A$2=4,E3783,IF($A$2&gt;4,P3783,"zadat jazyk")))))</f>
        <v>SEVROLL 06157 maska Elegant II 6m čierna štrukturálna</v>
      </c>
      <c r="C3783" s="185">
        <f>IF($A$2=1,H3783,IF($A$2=2,I3783,IF($A$2=3,J3783,IF($A$2=4,K3783,IF($A$2&gt;4,O3783,"zadat jazyk")))))</f>
        <v>11.762219999999999</v>
      </c>
      <c r="D3783" t="s">
        <v>6609</v>
      </c>
      <c r="E3783" t="s">
        <v>6682</v>
      </c>
      <c r="F3783" t="s">
        <v>6683</v>
      </c>
      <c r="G3783" t="s">
        <v>6684</v>
      </c>
      <c r="H3783" s="188">
        <v>327.13407999999998</v>
      </c>
      <c r="I3783" s="186">
        <v>11.762219999999999</v>
      </c>
      <c r="J3783" s="85">
        <v>40.447279999999999</v>
      </c>
      <c r="K3783" s="85">
        <v>4687.9854999999998</v>
      </c>
      <c r="L3783" t="s">
        <v>539</v>
      </c>
      <c r="O3783">
        <v>10.919420000000001</v>
      </c>
      <c r="P3783" t="s">
        <v>10450</v>
      </c>
    </row>
  </sheetData>
  <autoFilter ref="A1:T3783" xr:uid="{00000000-0009-0000-0000-000000000000}"/>
  <sortState xmlns:xlrd2="http://schemas.microsoft.com/office/spreadsheetml/2017/richdata2" ref="A3:N982">
    <sortCondition ref="N3:N982"/>
  </sortState>
  <conditionalFormatting sqref="A1:A1048576">
    <cfRule type="duplicateValues" dxfId="227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6578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dilatácia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15" t="str">
        <f>IFERROR((VLOOKUP(N5,data!C4:D108,2,0)),"N/A")</f>
        <v>N/A</v>
      </c>
      <c r="C29" s="23" t="str">
        <f>IF(B29=data!D64,texty!A239,+VLOOKUP(B29,cennik!A:G,2,FALSE))</f>
        <v> v tejto farbe a dĺžke sa daný profil nevyrába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str">
        <f>IFERROR((VLOOKUP(N5,data!C115:D209,2,0)),"N/A")</f>
        <v>N/A</v>
      </c>
      <c r="C30" s="23" t="str">
        <f>IF(B30=data!D64,texty!A239,+VLOOKUP(B30,cennik!A:G,2,FALSE))</f>
        <v> v tejto farbe a dĺžke sa daný profil nevyrába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22" t="e">
        <f>IF(M30&lt;&gt;"jiné",+VLOOKUP(M30,data!C335:D381,2,0),"")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str">
        <f>IFERROR(VLOOKUP(P7,data!C508:D516,2,0),"N/A")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6">
        <v>129677</v>
      </c>
      <c r="C65" s="477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zlatá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oliva</v>
      </c>
      <c r="M70" s="19"/>
    </row>
    <row r="71" spans="1:14" ht="12.75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oliva kartáčovaná</v>
      </c>
      <c r="N71" s="4">
        <f>IF(ISERROR(K71),1,0)</f>
        <v>1</v>
      </c>
    </row>
    <row r="72" spans="1:14" ht="12.75" hidden="1" customHeight="1" x14ac:dyDescent="0.25">
      <c r="L72" s="4" t="str">
        <f>data!J8</f>
        <v>kart. tm. oliva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biela mat</v>
      </c>
    </row>
    <row r="79" spans="1:14" ht="12.75" hidden="1" customHeight="1" x14ac:dyDescent="0.25">
      <c r="L79" s="4" t="str">
        <f>data!J22</f>
        <v>čierna štrukturálna</v>
      </c>
    </row>
  </sheetData>
  <sheetProtection algorithmName="SHA-512" hashValue="Dv0/nC0suQAam38Q8/6IWhT7h4OLs6UpNT/AV1YQ8wsKbUxaIPHaETZq7X9s2p4ulYXiFvUGNFzzHBH6WIVxcQ==" saltValue="u/i3rR1zRy4DMGMxOwglKg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6" priority="3">
      <formula>SUM($D$47:$D$48)&gt;0</formula>
    </cfRule>
  </conditionalFormatting>
  <conditionalFormatting sqref="D6">
    <cfRule type="expression" dxfId="224" priority="9">
      <formula>$D$4=4</formula>
    </cfRule>
    <cfRule type="expression" dxfId="223" priority="10">
      <formula>$D$4&lt;&gt;4</formula>
    </cfRule>
  </conditionalFormatting>
  <conditionalFormatting sqref="D54">
    <cfRule type="expression" dxfId="222" priority="11" stopIfTrue="1">
      <formula>IF($D$53&gt;0,IF($D$54=0,1,0),0)</formula>
    </cfRule>
  </conditionalFormatting>
  <conditionalFormatting sqref="G4">
    <cfRule type="expression" dxfId="221" priority="8">
      <formula>$D$4=4</formula>
    </cfRule>
  </conditionalFormatting>
  <conditionalFormatting sqref="I19:I20">
    <cfRule type="expression" dxfId="220" priority="5">
      <formula>$F$4=$M$69</formula>
    </cfRule>
  </conditionalFormatting>
  <conditionalFormatting sqref="I21:I22">
    <cfRule type="expression" dxfId="219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7" t="s">
        <v>829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7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7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+'Romeo II'!B27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IF(F4=M67,328321,229441)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78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spojovací profil H30-3metre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zámok posuvných dverí</v>
      </c>
      <c r="B54" s="15">
        <v>363019</v>
      </c>
      <c r="C54" s="23" t="str">
        <f>+VLOOKUP(B54,cennik!A:G,2,FALSE)</f>
        <v>SEVROLL 20369 zámok na posuvné dvere pre madlo Karat a Prosper</v>
      </c>
      <c r="D54" s="354"/>
      <c r="E54" s="86">
        <f>+VLOOKUP(B54,cennik!A:G,3,FALSE)</f>
        <v>36.512309999999999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>Na objednávku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spojovacia skrutka</v>
      </c>
      <c r="B55" s="14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4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H58" s="89"/>
      <c r="I58" s="364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H59" s="5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Ďalšie príslušenstvo</v>
      </c>
      <c r="E63" s="89"/>
      <c r="F63" s="89"/>
      <c r="G63" s="89"/>
      <c r="H63" s="5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Technický nákres tohoto systému</v>
      </c>
      <c r="B64" s="448">
        <v>129677</v>
      </c>
      <c r="C64" s="479" t="str">
        <f>VLOOKUP(B64,cennik!A:C,2,0)</f>
        <v>SEVROLL 20173 montážny prípravok pre lamino 10mm malý</v>
      </c>
      <c r="D64" s="41"/>
      <c r="E64" s="86">
        <f>+VLOOKUP(B64,cennik!A:G,3,FALSE)</f>
        <v>5.0214600000000003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8">
        <v>128842</v>
      </c>
      <c r="C65" s="479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700"/>
      <c r="K66" s="126"/>
    </row>
    <row r="67" spans="1:14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 xml:space="preserve">strieborná </v>
      </c>
      <c r="M67" s="19" t="s">
        <v>968</v>
      </c>
    </row>
    <row r="68" spans="1:14" ht="12.75" customHeight="1" x14ac:dyDescent="0.25">
      <c r="A68" s="70" t="str">
        <f>System10!A67</f>
        <v>Vaša poznámka:</v>
      </c>
      <c r="B68" s="697"/>
      <c r="C68" s="698"/>
      <c r="D68" s="698"/>
      <c r="E68" s="698"/>
      <c r="F68" s="698"/>
      <c r="G68" s="699"/>
      <c r="I68" s="4"/>
      <c r="L68" s="4" t="str">
        <f>texty!A130</f>
        <v>oliva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05cARV5iS7Nc0Cf/pdWejQ076rQzoIG9Apf+wvA+R+Eu4ENIiRouNc86gkHajOdCwYDFmtpHNZEl0Fci1nxKMw==" saltValue="eQ0y7Qd2e6tWfw47my7IAw==" spinCount="100000" sheet="1" objects="1" scenarios="1"/>
  <mergeCells count="13">
    <mergeCell ref="T6:T7"/>
    <mergeCell ref="U6:U7"/>
    <mergeCell ref="A66:J66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8" priority="3">
      <formula>SUM($D$47:$D$48)&gt;0</formula>
    </cfRule>
  </conditionalFormatting>
  <conditionalFormatting sqref="D6">
    <cfRule type="expression" dxfId="216" priority="7">
      <formula>$D$4=4</formula>
    </cfRule>
    <cfRule type="expression" dxfId="215" priority="8">
      <formula>$D$4&lt;&gt;4</formula>
    </cfRule>
  </conditionalFormatting>
  <conditionalFormatting sqref="D55">
    <cfRule type="expression" dxfId="214" priority="9" stopIfTrue="1">
      <formula>IF(D53&gt;0,IF(D55=0,1,0),0)</formula>
    </cfRule>
  </conditionalFormatting>
  <conditionalFormatting sqref="G4">
    <cfRule type="expression" dxfId="213" priority="6">
      <formula>$D$4=4</formula>
    </cfRule>
  </conditionalFormatting>
  <conditionalFormatting sqref="I19:I20">
    <cfRule type="expression" dxfId="212" priority="4">
      <formula>$F$4=$M$68</formula>
    </cfRule>
  </conditionalFormatting>
  <conditionalFormatting sqref="I21:I22">
    <cfRule type="expression" dxfId="211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6579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7" t="str">
        <f>CONCATENATE(texty!A243," ",7,".",24)</f>
        <v>Katalóg Kovania 2024 str. 7.24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1"/>
      <c r="H5" s="701"/>
      <c r="I5" s="701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7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7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+'Romeo II'!C27</f>
        <v>názov</v>
      </c>
      <c r="D27" s="17" t="str">
        <f>+'Romeo II'!D27</f>
        <v>ks</v>
      </c>
      <c r="E27" s="17" t="str">
        <f>+'Romeo II'!E27</f>
        <v>cena/ks</v>
      </c>
      <c r="F27" s="17" t="str">
        <f>+'Romeo II'!F27</f>
        <v>cena celkom</v>
      </c>
      <c r="G27" s="18" t="str">
        <f>+'Romeo II'!G27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horný profil rámu (vodiaca lišta)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+System10!A37</f>
        <v>horný profil rámu (vodiaca lišta)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horizontálny spodný profil rámu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5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B62" s="3"/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9" t="str">
        <f>VLOOKUP(B63,cennik!A:C,2,0)</f>
        <v>SEVROLL 20173 montážny prípravok pre lamino 10mm malý</v>
      </c>
      <c r="D63" s="41"/>
      <c r="E63" s="86">
        <f>+VLOOKUP(B63,cennik!A:G,3,FALSE)</f>
        <v>5.0214600000000003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9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IF(SUM(D48:D49)&gt;0,IF(C7&lt;(B4/3),texty!A212,""),"")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Gd64kNi/JIddU9DQCs4rWquIQZPS+wjS/X4GCmQLJenokNFwpHV6flN9mFPCIQPSLCUoAaI1KgoxVRDoNHfK9Q==" saltValue="wVT/Cll+74LZt2fvtIPMjA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A65:J65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10" priority="4">
      <formula>SUM($D$47:$D$48)&gt;0</formula>
    </cfRule>
  </conditionalFormatting>
  <conditionalFormatting sqref="D6">
    <cfRule type="expression" dxfId="208" priority="8">
      <formula>$D$4=4</formula>
    </cfRule>
    <cfRule type="expression" dxfId="207" priority="9">
      <formula>$D$4&lt;&gt;4</formula>
    </cfRule>
  </conditionalFormatting>
  <conditionalFormatting sqref="D54">
    <cfRule type="expression" dxfId="206" priority="1">
      <formula>IF(D52&gt;0,IF(D54=0,1,0),0)</formula>
    </cfRule>
  </conditionalFormatting>
  <conditionalFormatting sqref="G4">
    <cfRule type="expression" dxfId="205" priority="7">
      <formula>$D$4=4</formula>
    </cfRule>
  </conditionalFormatting>
  <conditionalFormatting sqref="I19:I20">
    <cfRule type="expression" dxfId="204" priority="5">
      <formula>$F$4=$M$67</formula>
    </cfRule>
  </conditionalFormatting>
  <conditionalFormatting sqref="I21:I22">
    <cfRule type="expression" dxfId="203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IW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57" width="0" style="4" hidden="1" customWidth="1"/>
    <col min="25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7" t="s">
        <v>850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7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22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2"/>
      <c r="H4" s="702"/>
      <c r="I4" s="702"/>
      <c r="J4" s="702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2"/>
      <c r="H5" s="702"/>
      <c r="I5" s="702"/>
      <c r="J5" s="702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600" t="str">
        <f>IF(D4=4,texty!A227,"")</f>
        <v/>
      </c>
      <c r="D6" s="211"/>
      <c r="E6" s="7"/>
      <c r="F6" s="7"/>
      <c r="G6" s="702"/>
      <c r="H6" s="702"/>
      <c r="I6" s="702"/>
      <c r="J6" s="702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V prípade použitia skla ako výplne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je treba použiť bezpečnostné sklo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alebo sklo zabezpečiť ochrannou fóliou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7"/>
      <c r="G11" s="3" t="str">
        <f>texty!A43</f>
        <v>Maximálna hmotnosť krídla je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Dĺžka tesnenia na sklo na jednom krídle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601" t="str">
        <f>texty!A242</f>
        <v>dilatácia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H25" s="5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5"/>
      <c r="I27" s="16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Horný profil: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6" t="str">
        <f>+System10!A29</f>
        <v>spodný profil: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6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6" t="str">
        <f>+System10!A31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6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 t="str">
        <f>+System10!A34</f>
        <v>úchytová lišta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6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6" t="str">
        <f>+System10!A36</f>
        <v>horný profil rámu (vodiaca lišta)</v>
      </c>
      <c r="B37" s="15" t="e">
        <f>IF(M30&lt;&gt;"jiné",+VLOOKUP(M30,data!C335:D366,2,0),"")</f>
        <v>#VALUE!</v>
      </c>
      <c r="C37" s="480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6" t="str">
        <f>+System10!A38</f>
        <v>horizontálny spodný profil rámu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6" t="str">
        <f>+System10!A39</f>
        <v>horizontálny spodný profil rámu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E40" s="89"/>
      <c r="F40" s="89"/>
      <c r="G40" s="89"/>
      <c r="H40" s="5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H41" s="5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zámok posuvných dverí</v>
      </c>
      <c r="B53" s="15">
        <v>216363</v>
      </c>
      <c r="C53" s="23" t="str">
        <f>+VLOOKUP(B53,cennik!A:G,2,FALSE)</f>
        <v>SEVROLL 20356 zámok na posuvné dvere 10/18mm</v>
      </c>
      <c r="D53" s="28"/>
      <c r="E53" s="86">
        <f>+VLOOKUP(B53,cennik!A:G,3,FALSE)</f>
        <v>15.855560000000001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28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Potrebná dĺžka tesnenia pri celkovom presklení (nutné objednať celé metre)</v>
      </c>
      <c r="D57" s="35" t="str">
        <f>IFERROR((CEILING(((B9+C9)*2/1000*D4),1)),"")</f>
        <v/>
      </c>
      <c r="E57" s="89"/>
      <c r="F57" s="89"/>
      <c r="G57" s="89"/>
      <c r="H57" s="89"/>
      <c r="I57" s="364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(pri kombináciach s H profilmi je nutné pripočítať potrebnú dĺžku - tesnenie musí byť po celom odvode každého skla</v>
      </c>
      <c r="B58" s="42"/>
      <c r="C58" s="43"/>
      <c r="D58" s="42"/>
      <c r="E58" s="94"/>
      <c r="F58" s="94"/>
      <c r="G58" s="94"/>
      <c r="H58" s="94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Ďalšie príslušenstvo</v>
      </c>
      <c r="E62" s="89"/>
      <c r="F62" s="89"/>
      <c r="G62" s="89"/>
      <c r="H62" s="5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Technický nákres tohoto systému</v>
      </c>
      <c r="B63" s="196">
        <v>129677</v>
      </c>
      <c r="C63" s="479" t="str">
        <f>VLOOKUP(B63,cennik!A:C,2,0)</f>
        <v>SEVROLL 20173 montážny prípravok pre lamino 10mm malý</v>
      </c>
      <c r="D63" s="41"/>
      <c r="E63" s="86">
        <f>+VLOOKUP(B63,cennik!A:G,3,FALSE)</f>
        <v>5.0214600000000003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9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700" t="str">
        <f>IF(SUM(D50:D51)&gt;0,IF(C7&lt;(B4/3),texty!A212,""),"")</f>
        <v/>
      </c>
      <c r="B65" s="700"/>
      <c r="C65" s="700"/>
      <c r="D65" s="700"/>
      <c r="E65" s="700"/>
      <c r="F65" s="700"/>
      <c r="G65" s="700"/>
      <c r="H65" s="700"/>
      <c r="I65" s="700"/>
      <c r="J65" s="700"/>
      <c r="K65" s="126"/>
    </row>
    <row r="66" spans="1:14" ht="12.75" customHeight="1" x14ac:dyDescent="0.25">
      <c r="B66" s="7"/>
      <c r="C66" s="7"/>
      <c r="D66" s="71" t="str">
        <f>texty!A15</f>
        <v>CELKOM  (bez DPH)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 xml:space="preserve">strieborná </v>
      </c>
      <c r="M66" s="19" t="s">
        <v>968</v>
      </c>
    </row>
    <row r="67" spans="1:14" ht="12.75" customHeight="1" x14ac:dyDescent="0.25">
      <c r="A67" s="70" t="str">
        <f>System10!A67</f>
        <v>Vaša poznámka:</v>
      </c>
      <c r="B67" s="697"/>
      <c r="C67" s="698"/>
      <c r="D67" s="698"/>
      <c r="E67" s="698"/>
      <c r="F67" s="698"/>
      <c r="G67" s="699"/>
      <c r="I67" s="4"/>
      <c r="L67" s="4" t="str">
        <f>texty!A130</f>
        <v>oliva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hGu4/7ot2EToT9HvYuL6cgfQNGwL+EJKVWn/fUygG2wQq81x7np8jjKtwpSlnOiUT06dFNouNa3NuGCrST6nQ==" saltValue="U39xoG5Bn7I8LhPCz8lsDQ==" spinCount="100000" sheet="1" objects="1" scenarios="1"/>
  <mergeCells count="13">
    <mergeCell ref="A69:H69"/>
    <mergeCell ref="U6:U7"/>
    <mergeCell ref="A68:H68"/>
    <mergeCell ref="R6:R7"/>
    <mergeCell ref="S6:S7"/>
    <mergeCell ref="T6:T7"/>
    <mergeCell ref="G4:J6"/>
    <mergeCell ref="A65:J65"/>
    <mergeCell ref="B67:G67"/>
    <mergeCell ref="I19:I20"/>
    <mergeCell ref="I21:I22"/>
    <mergeCell ref="B5:F5"/>
    <mergeCell ref="A14:B15"/>
  </mergeCells>
  <phoneticPr fontId="0" type="noConversion"/>
  <conditionalFormatting sqref="A14">
    <cfRule type="expression" dxfId="202" priority="4">
      <formula>SUM($D$47:$D$48)&gt;0</formula>
    </cfRule>
  </conditionalFormatting>
  <conditionalFormatting sqref="D6">
    <cfRule type="expression" dxfId="200" priority="8">
      <formula>$D$4=4</formula>
    </cfRule>
    <cfRule type="expression" dxfId="199" priority="9">
      <formula>$D$4&lt;&gt;4</formula>
    </cfRule>
  </conditionalFormatting>
  <conditionalFormatting sqref="D54">
    <cfRule type="expression" dxfId="198" priority="1">
      <formula>IF(D52&gt;0,IF(D54=0,1,0),0)</formula>
    </cfRule>
  </conditionalFormatting>
  <conditionalFormatting sqref="G4:J6">
    <cfRule type="expression" dxfId="197" priority="7">
      <formula>$D$4=4</formula>
    </cfRule>
  </conditionalFormatting>
  <conditionalFormatting sqref="I19:I20">
    <cfRule type="expression" dxfId="196" priority="5">
      <formula>$F$4=$M$67</formula>
    </cfRule>
  </conditionalFormatting>
  <conditionalFormatting sqref="I21:I22">
    <cfRule type="expression" dxfId="195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21" width="0" style="4" hidden="1" customWidth="1"/>
    <col min="22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684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7" t="str">
        <f>CONCATENATE(texty!A243," ",7,".",33)</f>
        <v>Katalóg Kovania 2024 str. 7.33</v>
      </c>
      <c r="B3" s="318" t="str">
        <f>CONCATENATE(texty!A34," / max.      3 040 mm /")</f>
        <v>výška / max.      3 040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IFERROR((C7-42),"")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604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601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horné vozíky (sady)</v>
      </c>
      <c r="B31" s="15">
        <v>229442</v>
      </c>
      <c r="C31" s="23" t="str">
        <f>+VLOOKUP(B31,cennik!A:G,2,FALSE)</f>
        <v>SEVROLL 10205 Master horný vozík 10mm - 2ks</v>
      </c>
      <c r="D31" s="15">
        <f>IF((D50+D51)&gt;D4,0,D4-(D50+D51))</f>
        <v>0</v>
      </c>
      <c r="E31" s="86">
        <f>+VLOOKUP(B31,cennik!A:G,3,FALSE)</f>
        <v>7.5986000000000002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úchytová lišta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Potrebná dĺžka tesnenia pri celkovom presklení (nutné objednať celé metre)</v>
      </c>
      <c r="D58" s="35" t="str">
        <f>IFERROR((CEILING(((B9+C9)*2/1000*D4),1)),"")</f>
        <v/>
      </c>
      <c r="E58" s="89"/>
      <c r="F58" s="89"/>
      <c r="G58" s="89"/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(pri kombináciach s H profilmi je nutné pripočítať potrebnú dĺžku - tesnenie musí byť po celom odvode každého skla</v>
      </c>
      <c r="B59" s="42"/>
      <c r="C59" s="43"/>
      <c r="D59" s="42"/>
      <c r="E59" s="94"/>
      <c r="F59" s="94"/>
      <c r="G59" s="94"/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41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Ďalšie príslušenstvo</v>
      </c>
      <c r="E63" s="89"/>
      <c r="F63" s="89"/>
      <c r="G63" s="89"/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Technický nákres tohoto systému</v>
      </c>
      <c r="B64" s="196">
        <v>129677</v>
      </c>
      <c r="C64" s="153" t="str">
        <f>VLOOKUP(B64,cennik!A:C,2,0)</f>
        <v>SEVROLL 20173 montážny prípravok pre lamino 10mm malý</v>
      </c>
      <c r="D64" s="41"/>
      <c r="E64" s="86">
        <f>+VLOOKUP(B64,cennik!A:G,3,FALSE)</f>
        <v>5.0214600000000003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0" t="str">
        <f>IF(SUM(D50:D51)&gt;0,IF(C7&lt;(B4/3),texty!A212,""),"")</f>
        <v/>
      </c>
      <c r="B66" s="700"/>
      <c r="C66" s="700"/>
      <c r="D66" s="700"/>
      <c r="E66" s="700"/>
      <c r="F66" s="700"/>
      <c r="G66" s="700"/>
      <c r="H66" s="700"/>
      <c r="I66" s="700"/>
      <c r="J66" s="12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WaIWIRTLFcTHo6K8L+VBPhVOS3vxRoZEwk7gdCPvyS10ngKliW17+vkBMeWDcDXdIYz2bhyHpboXG3+TdVx39w==" saltValue="gammqCZ6UgnaVEcrj5UP8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94" priority="4">
      <formula>SUM($D$48:$D$49)&gt;0</formula>
    </cfRule>
  </conditionalFormatting>
  <conditionalFormatting sqref="D6">
    <cfRule type="expression" dxfId="192" priority="6">
      <formula>$D$4=4</formula>
    </cfRule>
    <cfRule type="expression" dxfId="191" priority="7">
      <formula>$D$4&lt;&gt;4</formula>
    </cfRule>
  </conditionalFormatting>
  <conditionalFormatting sqref="D55">
    <cfRule type="expression" dxfId="190" priority="1" stopIfTrue="1">
      <formula>IF(D53&gt;0,IF(D55=0,1,0),0)</formula>
    </cfRule>
  </conditionalFormatting>
  <conditionalFormatting sqref="F4:I6">
    <cfRule type="expression" dxfId="189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7" t="s">
        <v>6586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",7,".",33)</f>
        <v>Katalóg Kovania 2024 str. 7.33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471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rozmer výplne 10 mm: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IFERROR((C7-68),"")</f>
        <v/>
      </c>
      <c r="D10" s="7"/>
      <c r="E10" s="7"/>
      <c r="F10" s="3" t="str">
        <f>texty!A43</f>
        <v>Maximálna hmotnosť krídla je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7" t="str">
        <f>texty!A242</f>
        <v>dilatácia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SUM(S21:S43)</f>
        <v>#VALUE!</v>
      </c>
      <c r="M24" s="4">
        <v>1700</v>
      </c>
      <c r="O24" s="4" t="s">
        <v>548</v>
      </c>
      <c r="P24" s="149" t="s">
        <v>549</v>
      </c>
      <c r="Q24" s="4" t="e">
        <f>R8+S8</f>
        <v>#VALUE!</v>
      </c>
      <c r="R24" s="4" t="e">
        <f>IF(Q24&gt;=D4,IF(SUM(R21:R23)&gt;0,"",1),"")</f>
        <v>#VALUE!</v>
      </c>
      <c r="S24" s="150" t="e">
        <f>IF(R24=1,1,"")</f>
        <v>#VALUE!</v>
      </c>
      <c r="T24" s="150" t="e">
        <f>IF(R24=1,1,"")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partnerská zľava:</v>
      </c>
      <c r="K25" s="4" t="str">
        <f>CONCATENATE(M25,"-",O7)</f>
        <v>2350-0</v>
      </c>
      <c r="L25" s="5" t="e">
        <f>SUM(T21:T43)</f>
        <v>#VALUE!</v>
      </c>
      <c r="M25" s="4">
        <v>2350</v>
      </c>
      <c r="P25" s="4" t="s">
        <v>561</v>
      </c>
      <c r="Q25" s="4" t="e">
        <f>S8+S8</f>
        <v>#VALUE!</v>
      </c>
      <c r="R25" s="4" t="e">
        <f>IF(Q25&gt;=D4,IF(SUM(R21:R24)&gt;0,"",1),"")</f>
        <v>#VALUE!</v>
      </c>
      <c r="T25" s="150" t="e">
        <f>IF(R25=1,2,"")</f>
        <v>#VALUE!</v>
      </c>
    </row>
    <row r="26" spans="1:21" ht="12.75" customHeight="1" x14ac:dyDescent="0.25">
      <c r="A26" s="12" t="str">
        <f>texty!A80</f>
        <v>Objednávacie kódy, ceny: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SUM(U21:U43)</f>
        <v>#VALUE!</v>
      </c>
      <c r="M26" s="4">
        <v>3000</v>
      </c>
      <c r="N26" s="148"/>
      <c r="P26" s="4" t="s">
        <v>550</v>
      </c>
      <c r="Q26" s="4" t="e">
        <f>R8+T8</f>
        <v>#VALUE!</v>
      </c>
      <c r="R26" s="4" t="e">
        <f>IF(Q26&gt;=D4,IF(SUM(R21:R25)&gt;0,"",1),"")</f>
        <v>#VALUE!</v>
      </c>
      <c r="S26" s="150" t="e">
        <f>IF(R26=1,1,"")</f>
        <v>#VALUE!</v>
      </c>
      <c r="U26" s="150" t="e">
        <f>IF(R26=1,1,"")</f>
        <v>#VALUE!</v>
      </c>
    </row>
    <row r="27" spans="1:21" ht="12.75" customHeight="1" x14ac:dyDescent="0.25">
      <c r="A27" s="6"/>
      <c r="B27" s="17" t="str">
        <f>texty!A276</f>
        <v>kód</v>
      </c>
      <c r="C27" s="16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I27" s="16" t="str">
        <f>texty!A29</f>
        <v>Poznámka:</v>
      </c>
      <c r="J27" s="16"/>
      <c r="K27" s="5"/>
      <c r="L27" s="4">
        <f>COUNT(L24,L25,L26)</f>
        <v>0</v>
      </c>
      <c r="M27" s="148"/>
      <c r="N27" s="148"/>
      <c r="P27" s="4" t="s">
        <v>551</v>
      </c>
      <c r="Q27" s="4" t="e">
        <f>S8+T8</f>
        <v>#VALUE!</v>
      </c>
      <c r="R27" s="4" t="e">
        <f>IF(Q27&gt;=D4,IF(SUM(R21:R26)&gt;0,"",1),"")</f>
        <v>#VALUE!</v>
      </c>
      <c r="T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Horný profil: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562</v>
      </c>
      <c r="Q28" s="4" t="e">
        <f>T8+T8</f>
        <v>#VALUE!</v>
      </c>
      <c r="R28" s="4" t="e">
        <f>IF(Q28&gt;=D4,IF(SUM(R21:R27)&gt;0,"",1),"")</f>
        <v>#VALUE!</v>
      </c>
      <c r="U28" s="150" t="e">
        <f>IF(R28=1,2,"")</f>
        <v>#VALUE!</v>
      </c>
    </row>
    <row r="29" spans="1:21" ht="12.75" customHeight="1" x14ac:dyDescent="0.25">
      <c r="A29" s="6" t="str">
        <f>+System10!A29</f>
        <v>spodný profil: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563</v>
      </c>
      <c r="Q29" s="4" t="e">
        <f>R8+R8+R8</f>
        <v>#VALUE!</v>
      </c>
      <c r="R29" s="4" t="e">
        <f>IF(Q29&gt;=D4,IF(SUM(R21:R28)&gt;0,"",1),"")</f>
        <v>#VALUE!</v>
      </c>
      <c r="S29" s="150" t="e">
        <f>IF(R29=1,3,"")</f>
        <v>#VALUE!</v>
      </c>
    </row>
    <row r="30" spans="1:21" ht="12.75" customHeight="1" x14ac:dyDescent="0.25">
      <c r="A30" s="6" t="str">
        <f>+System10!A30</f>
        <v>krycí profil (maska):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S30" s="150"/>
    </row>
    <row r="31" spans="1:21" ht="12.75" customHeight="1" x14ac:dyDescent="0.25">
      <c r="A31" s="6" t="str">
        <f>+System10!A31</f>
        <v>horné vozíky (sady)</v>
      </c>
      <c r="B31" s="15">
        <v>98048</v>
      </c>
      <c r="C31" s="23" t="str">
        <f>+VLOOKUP(B31,cennik!A:G,2,FALSE)</f>
        <v>SEVROLL 10209 Future horný vozík 10mm L+P</v>
      </c>
      <c r="D31" s="15">
        <f>IF((D50+D51)&gt;D4,0,D4-(D50+D51))</f>
        <v>0</v>
      </c>
      <c r="E31" s="86">
        <f>+VLOOKUP(B31,cennik!A:G,3,FALSE)</f>
        <v>6.9220100000000002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IF(Q31&gt;=D4,IF(SUM(R21:R29)&gt;0,"",1),"")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spodné vozíky (sada)</v>
      </c>
      <c r="B32" s="15">
        <v>328321</v>
      </c>
      <c r="C32" s="23" t="str">
        <f>+VLOOKUP(B32,cennik!A:G,2,FALSE)</f>
        <v>SEVROLL 10238 spodný vozík WD10 V 2ks bez pozicionéru</v>
      </c>
      <c r="D32" s="15">
        <f>+D4</f>
        <v>0</v>
      </c>
      <c r="E32" s="86">
        <f>+VLOOKUP(B32,cennik!A:G,3,FALSE)</f>
        <v>6.0112199999999998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</row>
    <row r="34" spans="1:21" ht="12.75" customHeight="1" x14ac:dyDescent="0.25">
      <c r="A34" s="6" t="str">
        <f>+System10!A34</f>
        <v>úchytová lišta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spojovacia skrutka</v>
      </c>
      <c r="B35" s="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horný profil rámu (vodiaca lišta)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4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horný profil rámu (vodiaca lišta)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horizontálny spodný profil rámu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horizontálny spodný profil rámu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Voliteľné príslušenstvo:</v>
      </c>
      <c r="B41" s="7"/>
      <c r="D41" s="24" t="str">
        <f>System10!D41</f>
        <v>zadajte počet:</v>
      </c>
      <c r="E41" s="90"/>
      <c r="F41" s="90"/>
      <c r="G41" s="89"/>
      <c r="I41" s="364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pozicionér do horného vedenia</v>
      </c>
      <c r="B42" s="7">
        <v>298035</v>
      </c>
      <c r="C42" s="23" t="str">
        <f>+VLOOKUP(B42,cennik!A:G,2,FALSE)</f>
        <v>SEVROLL 20326 Fix pozicionér pre horný vozík transparentný</v>
      </c>
      <c r="D42" s="27"/>
      <c r="E42" s="86">
        <f>+VLOOKUP(B42,cennik!A:G,3,FALSE)</f>
        <v>1.0929500000000001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 xml:space="preserve">pozicionér </v>
      </c>
      <c r="B43" s="15">
        <v>89063</v>
      </c>
      <c r="C43" s="23" t="str">
        <f>+VLOOKUP(B43,cennik!A:G,2,FALSE)</f>
        <v>SEVROLL 20080 pozicionér spodného vozíka HI-TEC</v>
      </c>
      <c r="D43" s="27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P43" s="4" t="s">
        <v>555</v>
      </c>
      <c r="Q43" s="4" t="e">
        <f>R8+2*T8</f>
        <v>#VALUE!</v>
      </c>
      <c r="R43" s="4" t="e">
        <f>IF(Q43&gt;=D4,IF(SUM(R21:R32)&gt;0,"",1),"")</f>
        <v>#VALUE!</v>
      </c>
      <c r="S43" s="150" t="e">
        <f>IF(R43=1,1,"")</f>
        <v>#VALUE!</v>
      </c>
      <c r="U43" s="150" t="e">
        <f>IF(R43=1,2,"")</f>
        <v>#VALUE!</v>
      </c>
    </row>
    <row r="44" spans="1:21" ht="12.75" customHeight="1" x14ac:dyDescent="0.25">
      <c r="A44" s="6" t="str">
        <f>texty!A179</f>
        <v>skrutka k spodnémi vedeniu</v>
      </c>
      <c r="B44" s="7">
        <v>98019</v>
      </c>
      <c r="C44" s="23" t="str">
        <f>+VLOOKUP(B44,cennik!A:G,2,FALSE)</f>
        <v>SEVROLL 20041 skrutka 2,5x18mm polguľatá hlava zinok biely</v>
      </c>
      <c r="D44" s="27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 Tlmič dorazu MINI do 25 kg (pár)</v>
      </c>
      <c r="B45" s="15">
        <v>318662</v>
      </c>
      <c r="C45" s="23" t="str">
        <f>+VLOOKUP(B45,cennik!A:G,2,FALSE)</f>
        <v>SEVROLL 20368-SV tlmič dorazu Mini SV25 (14-25kg)</v>
      </c>
      <c r="D45" s="27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 Tlmič dorazu MINI do 40 kg (pár)</v>
      </c>
      <c r="B46" s="22">
        <v>283956</v>
      </c>
      <c r="C46" s="23" t="str">
        <f>+VLOOKUP(B46,cennik!A:G,2,FALSE)</f>
        <v>SEVROLL 20258-SV tlmič dorazu Mini SV40 (25 - 40kg)</v>
      </c>
      <c r="D46" s="27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 Tlmič dorazu MINI do 60 kg (pár)</v>
      </c>
      <c r="B47" s="22">
        <v>351743</v>
      </c>
      <c r="C47" s="23" t="str">
        <f>+VLOOKUP(B47,cennik!A:G,2,FALSE)</f>
        <v>SEVROLL 20339-SV tlmič dorazu Mini SV60 (40 - 60kg)</v>
      </c>
      <c r="D47" s="27"/>
      <c r="E47" s="86">
        <f>+VLOOKUP(B47,cennik!A:G,3,FALSE)</f>
        <v>22.951930000000001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 Tlmič pre stredné krídlo do 25 kg</v>
      </c>
      <c r="B48" s="22">
        <v>318663</v>
      </c>
      <c r="C48" s="23" t="str">
        <f>+VLOOKUP(B48,cennik!A:G,2,FALSE)</f>
        <v>SEVROLL 20363-SV tlmič Central 10/18mm obojstranný 25kg</v>
      </c>
      <c r="D48" s="27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 Tlmič pre stredné krídlo do 40 kg</v>
      </c>
      <c r="B49" s="22">
        <v>283955</v>
      </c>
      <c r="C49" s="23" t="str">
        <f>+VLOOKUP(B49,cennik!A:G,2,FALSE)</f>
        <v>SEVROLL 20319-SV tlmič Central 10/18mm obojstranný 25-40kg</v>
      </c>
      <c r="D49" s="27"/>
      <c r="E49" s="86">
        <f>+VLOOKUP(B49,cennik!A:G,3,FALSE)</f>
        <v>49.156689999999998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spojovací profil H10-3metre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spojovací profil H30-3metre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28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spojovacia skrutka</v>
      </c>
      <c r="B55" s="15">
        <v>89244</v>
      </c>
      <c r="C55" s="23" t="str">
        <f>+VLOOKUP(B55,cennik!A:G,2,FALSE)</f>
        <v>SEVROLL 20001 skrutkovrut 6,3x32 SEVROLL a Simple</v>
      </c>
      <c r="D55" s="28"/>
      <c r="E55" s="86">
        <f>+VLOOKUP(B55,cennik!A:G,3,FALSE)</f>
        <v>0.15614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protiprachový kartáč</v>
      </c>
      <c r="B56" s="15">
        <v>95946</v>
      </c>
      <c r="C56" s="23" t="str">
        <f>+VLOOKUP(B56,cennik!A:G,2,FALSE)</f>
        <v>SEVROLL protiprach.kartáč zásuvný 4,8x13mm</v>
      </c>
      <c r="D56" s="28"/>
      <c r="E56" s="86">
        <f>+VLOOKUP(B56,cennik!A:G,3,FALSE)</f>
        <v>0.20741000000000001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4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Potrebná dĺžka tesnenia pri celkovom presklení (nutné objednať celé metre)</v>
      </c>
      <c r="D59" s="35" t="str">
        <f>IFERROR((CEILING(((B9+C9)*2/1000*D4),1)),"")</f>
        <v/>
      </c>
      <c r="E59" s="89"/>
      <c r="F59" s="89"/>
      <c r="G59" s="89"/>
      <c r="I59" s="364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(pri kombináciach s H profilmi je nutné pripočítať potrebnú dĺžku - tesnenie musí byť po celom odvode každého skla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41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41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Technický nákres tohoto systému</v>
      </c>
      <c r="B65" s="153">
        <v>129677</v>
      </c>
      <c r="C65" s="153" t="str">
        <f>VLOOKUP(B65,cennik!A:C,2,0)</f>
        <v>SEVROLL 20173 montážny prípravok pre lamino 10mm malý</v>
      </c>
      <c r="D65" s="41"/>
      <c r="E65" s="86">
        <f>+VLOOKUP(B65,cennik!A:G,3,FALSE)</f>
        <v>5.0214600000000003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vrták stupňovitý 6,5/9,5mm</v>
      </c>
      <c r="D66" s="41"/>
      <c r="E66" s="86">
        <f>+VLOOKUP(B66,cennik!A:G,3,FALSE)</f>
        <v>26.752659999999999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0" t="str">
        <f>IF(SUM(D50:D51)&gt;0,IF(C7&lt;(B4/3),texty!A212,""),"")</f>
        <v/>
      </c>
      <c r="B67" s="700"/>
      <c r="C67" s="700"/>
      <c r="D67" s="700"/>
      <c r="E67" s="700"/>
      <c r="F67" s="700"/>
      <c r="G67" s="700"/>
      <c r="H67" s="700"/>
      <c r="I67" s="700"/>
      <c r="J67" s="126"/>
    </row>
    <row r="68" spans="1:13" ht="12.75" customHeight="1" x14ac:dyDescent="0.25">
      <c r="B68" s="7"/>
      <c r="C68" s="7"/>
      <c r="D68" s="71" t="str">
        <f>texty!A15</f>
        <v>CELKOM  (bez DPH)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 xml:space="preserve">strieborná </v>
      </c>
    </row>
    <row r="69" spans="1:13" ht="12.75" customHeight="1" x14ac:dyDescent="0.25">
      <c r="A69" s="70" t="str">
        <f>System10!A67</f>
        <v>Vaša poznámka:</v>
      </c>
      <c r="B69" s="703"/>
      <c r="C69" s="704"/>
      <c r="D69" s="704"/>
      <c r="E69" s="704"/>
      <c r="F69" s="704"/>
      <c r="G69" s="704"/>
      <c r="K69" s="4" t="str">
        <f>texty!A130</f>
        <v>oliva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niektoré položky sa vo vybranej dĺžke nevyrábajú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QQgbY6um08rLPVMBST7umAQhsa3X4DNIxTanPmELFDDXGtWrXATDRfUBPSbpVS/7fPK6ya3AdD9u8uZWyOTag==" saltValue="7eJmdHkxPU2/7Wc08BQ3m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8" priority="4">
      <formula>SUM($D$48:$D$49)&gt;0</formula>
    </cfRule>
  </conditionalFormatting>
  <conditionalFormatting sqref="D6">
    <cfRule type="expression" dxfId="186" priority="6">
      <formula>$D$4=4</formula>
    </cfRule>
    <cfRule type="expression" dxfId="185" priority="7">
      <formula>$D$4&lt;&gt;4</formula>
    </cfRule>
  </conditionalFormatting>
  <conditionalFormatting sqref="D55">
    <cfRule type="expression" dxfId="184" priority="1" stopIfTrue="1">
      <formula>IF(D53&gt;0,IF(D55=0,1,0),0)</formula>
    </cfRule>
  </conditionalFormatting>
  <conditionalFormatting sqref="F4:I6">
    <cfRule type="expression" dxfId="183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7" t="s">
        <v>977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7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IFERROR((C7-33.2),"")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3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02"/>
      <c r="B16" s="602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02"/>
      <c r="B17" s="602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7" t="str">
        <f>texty!A242</f>
        <v>dilatácia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349942</v>
      </c>
      <c r="C33" s="23" t="str">
        <f>+VLOOKUP(B33,cennik!A:G,2,FALSE)</f>
        <v>SEVROLL 10239 horný vozík Blue 10mm asymetrický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5">
        <v>89244</v>
      </c>
      <c r="C37" s="23" t="str">
        <f>+VLOOKUP(B37,cennik!A:G,2,FALSE)</f>
        <v>SEVROLL 20001 skrutkovrut 6,3x32 SEVROLL a Simple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5" t="e">
        <f>IF(L33&lt;&gt;"jiné",+VLOOKUP(L33,data!C384:D389,2,0),"")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horizontálny spodný profil rámu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horizontálny spodný profil rámu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D43" s="24" t="str">
        <f>System10!D41</f>
        <v>zadajte počet: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 xml:space="preserve">pozicionér </v>
      </c>
      <c r="B45" s="594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spojovací H profil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spojovací H profil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350024</v>
      </c>
      <c r="C50" s="23" t="str">
        <f>+VLOOKUP(B50,cennik!A:G,2,FALSE)</f>
        <v>SEVROLL 20375-BL tlmič dorazu Simple/Blue 10/18 25kg L+P</v>
      </c>
      <c r="D50" s="413"/>
      <c r="E50" s="86">
        <f>+VLOOKUP(B50,cennik!A:G,3,FALSE)</f>
        <v>24.695450000000001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>Na objednávku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22">
        <v>293776</v>
      </c>
      <c r="C51" s="23" t="str">
        <f>+VLOOKUP(B51,cennik!A:G,2,FALSE)</f>
        <v>SEVROLL tlmič doraz.Simple 10/18, 25 - 40kg (L+P)</v>
      </c>
      <c r="D51" s="27"/>
      <c r="E51" s="86">
        <f>+VLOOKUP(B51,cennik!A:G,3,FALSE)</f>
        <v>24.695450000000001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>Na objednávku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spojovacia skrutka</v>
      </c>
      <c r="B52" s="15">
        <v>89244</v>
      </c>
      <c r="C52" s="23" t="str">
        <f>+VLOOKUP(B52,cennik!A:G,2,FALSE)</f>
        <v>SEVROLL 20001 skrutkovrut 6,3x32 SEVROLL a Simple</v>
      </c>
      <c r="D52" s="28"/>
      <c r="E52" s="86">
        <f>+VLOOKUP(B52,cennik!A:G,3,FALSE)</f>
        <v>0.15614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Potrebná dĺžka tesnenia pri celkovom presklení (nutné objednať celé metre)</v>
      </c>
      <c r="D55" s="35" t="str">
        <f>IFERROR((CEILING(((B9+C9)*2/1000*D4),1)),"")</f>
        <v/>
      </c>
      <c r="E55" s="89"/>
      <c r="F55" s="89"/>
      <c r="G55" s="89"/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(pri kombináciach s H profilmi je nutné pripočítať potrebnú dĺžku - tesnenie musí byť po celom odvode každého skla</v>
      </c>
      <c r="B56" s="42"/>
      <c r="C56" s="43"/>
      <c r="D56" s="42"/>
      <c r="E56" s="94"/>
      <c r="F56" s="94"/>
      <c r="G56" s="94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tesnenie na sklo 4mm</v>
      </c>
      <c r="B57" s="15">
        <v>89238</v>
      </c>
      <c r="C57" s="23" t="str">
        <f>+VLOOKUP(B57,cennik!A:G,2,FALSE)</f>
        <v>SEVROLL 20031-SV tesnenie na sklo 10/4mm</v>
      </c>
      <c r="D57" s="41"/>
      <c r="E57" s="86">
        <f>+VLOOKUP(B57,cennik!A:G,3,FALSE)</f>
        <v>0.80669999999999997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tesnenie na sklo 4,5 mm</v>
      </c>
      <c r="B58" s="15">
        <v>135164</v>
      </c>
      <c r="C58" s="23" t="str">
        <f>+VLOOKUP(B58,cennik!A:G,2,FALSE)</f>
        <v>SEVROLL 20032-SV tesnenie na sklo 10/4,5mm</v>
      </c>
      <c r="D58" s="41"/>
      <c r="E58" s="86">
        <f>+VLOOKUP(B58,cennik!A:G,3,FALSE)</f>
        <v>0.80669999999999997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tesnenie na sklo 6mm</v>
      </c>
      <c r="B59" s="15">
        <v>89243</v>
      </c>
      <c r="C59" s="23" t="str">
        <f>+VLOOKUP(B59,cennik!A:G,2,FALSE)</f>
        <v>SEVROLL 20033-SV tesnenie na sklo 10/6mm</v>
      </c>
      <c r="D59" s="41"/>
      <c r="E59" s="86">
        <f>+VLOOKUP(B59,cennik!A:G,3,FALSE)</f>
        <v>0.80669999999999997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Ďalšie príslušenstvo</v>
      </c>
      <c r="E60" s="89"/>
      <c r="F60" s="89"/>
      <c r="G60" s="89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Technický nákres tohoto systému</v>
      </c>
      <c r="B61" s="196">
        <v>128842</v>
      </c>
      <c r="C61" s="153" t="str">
        <f>VLOOKUP(B61,cennik!A:C,2,0)</f>
        <v>SEVROLL 20144 vrták stupňovitý 6,5/9,5mm</v>
      </c>
      <c r="D61" s="41"/>
      <c r="E61" s="86">
        <f>+VLOOKUP(B61,cennik!A:G,3,FALSE)</f>
        <v>26.752659999999999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CELKOM  (bez DPH)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 xml:space="preserve">strieborná </v>
      </c>
    </row>
    <row r="64" spans="1:11" ht="12.75" customHeight="1" x14ac:dyDescent="0.25">
      <c r="A64" s="70" t="str">
        <f>System10!A67</f>
        <v>Vaša poznámka:</v>
      </c>
      <c r="B64" s="703"/>
      <c r="C64" s="704"/>
      <c r="D64" s="704"/>
      <c r="E64" s="704"/>
      <c r="F64" s="704"/>
      <c r="G64" s="704"/>
      <c r="K64" s="4" t="str">
        <f>texty!A130</f>
        <v>oliva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niektoré položky sa vo vybranej dĺžke nevyrábajú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82" priority="43">
      <formula>SUM($D$50:$D$51)&gt;0</formula>
    </cfRule>
  </conditionalFormatting>
  <conditionalFormatting sqref="A16">
    <cfRule type="expression" dxfId="181" priority="410">
      <formula>SUM(#REF!)&gt;0</formula>
    </cfRule>
  </conditionalFormatting>
  <conditionalFormatting sqref="D6">
    <cfRule type="expression" dxfId="179" priority="6">
      <formula>$D$4=4</formula>
    </cfRule>
    <cfRule type="expression" dxfId="178" priority="7">
      <formula>$D$4&lt;&gt;4</formula>
    </cfRule>
  </conditionalFormatting>
  <conditionalFormatting sqref="D52">
    <cfRule type="expression" dxfId="177" priority="8" stopIfTrue="1">
      <formula>IF(OR($D$47&gt;0,$D$48&gt;0,$D$49&gt;0),IF($D$52=0,1,0),0)</formula>
    </cfRule>
  </conditionalFormatting>
  <conditionalFormatting sqref="F4:I6">
    <cfRule type="expression" dxfId="176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7" t="s">
        <v>987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18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rozmer výplne 10 mm: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F11" s="3" t="str">
        <f>texty!A44</f>
        <v>Maximálna hmotnosť krídla je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Dĺžka tesnenia na sklo na jednom krídle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3" t="str">
        <f>texty!A78</f>
        <v>dodatočné odpočty výšky vypočítaných výplní pri použití deliacich profilov výplne: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3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3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3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3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3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603" t="str">
        <f>texty!A242</f>
        <v>dilatácia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partnerská zľava: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Objednávacie kódy, ceny: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kód</v>
      </c>
      <c r="C30" s="16" t="str">
        <f>+System10!C27</f>
        <v>názov</v>
      </c>
      <c r="D30" s="17" t="str">
        <f>+System10!D27</f>
        <v>ks</v>
      </c>
      <c r="E30" s="17" t="str">
        <f>+System10!E27</f>
        <v>cena/ks</v>
      </c>
      <c r="F30" s="17" t="str">
        <f>+System10!F27</f>
        <v>cena celkom</v>
      </c>
      <c r="G30" s="18" t="str">
        <f>+System10!G27</f>
        <v>celkom netto:</v>
      </c>
      <c r="I30" s="16" t="str">
        <f>texty!A29</f>
        <v>Poznámka: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Horný profil: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spodný profil: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záslepko spodného vedenia</v>
      </c>
      <c r="B33" s="15">
        <v>216362</v>
      </c>
      <c r="C33" s="23" t="str">
        <f>+VLOOKUP(B33,cennik!A:G,2,FALSE)</f>
        <v>SEVROLL 20233 záslepka spodného vedenia Simple/Blue priesvitná, guma</v>
      </c>
      <c r="D33" s="15">
        <f>CEILING(C4/1000,1)</f>
        <v>0</v>
      </c>
      <c r="E33" s="86">
        <f>+VLOOKUP(B33,cennik!A:G,3,FALSE)</f>
        <v>1.01488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horné vozíky (sady)</v>
      </c>
      <c r="B34" s="15">
        <v>349943</v>
      </c>
      <c r="C34" s="23" t="str">
        <f>+VLOOKUP(B34,cennik!A:G,2,FALSE)</f>
        <v>SEVROLL 10240 horný vozík Blue 10mm symetrický L+P</v>
      </c>
      <c r="D34" s="15">
        <f>+D4</f>
        <v>0</v>
      </c>
      <c r="E34" s="86">
        <f>+VLOOKUP(B34,cennik!A:G,3,FALSE)</f>
        <v>3.64316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spodné vozíky (sada)</v>
      </c>
      <c r="B35" s="15">
        <v>229446</v>
      </c>
      <c r="C35" s="23" t="str">
        <f>+VLOOKUP(B35,cennik!A:G,2,FALSE)</f>
        <v>SEVROLL 10223 spodný vozík Simple/Blue V (rámový systém) - 2ks</v>
      </c>
      <c r="D35" s="15">
        <f>+D4</f>
        <v>0</v>
      </c>
      <c r="E35" s="86">
        <f>+VLOOKUP(B35,cennik!A:G,3,FALSE)</f>
        <v>2.73237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pozicionér </v>
      </c>
      <c r="B36" s="594">
        <v>229681</v>
      </c>
      <c r="C36" s="23" t="str">
        <f>+VLOOKUP(B36,cennik!A:G,2,FALSE)</f>
        <v>SEVROLL 10163 Simple/Blue pozicionér pre spodný vozík</v>
      </c>
      <c r="D36" s="15">
        <f>+D4</f>
        <v>0</v>
      </c>
      <c r="E36" s="86">
        <f>+VLOOKUP(B36,cennik!A:G,3,FALSE)</f>
        <v>0.36431999999999998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dorazový kartáč</v>
      </c>
      <c r="B37" s="15">
        <v>98067</v>
      </c>
      <c r="C37" s="23" t="str">
        <f>+VLOOKUP(B37,cennik!A:G,2,FALSE)</f>
        <v>SEVROLL dorazová kefa zásuvná 14x4mm sivá</v>
      </c>
      <c r="D37" s="15">
        <f>CEILING((B4*D4*2/1000),1)</f>
        <v>0</v>
      </c>
      <c r="E37" s="86">
        <f>+VLOOKUP(B37,cennik!A:G,3,FALSE)</f>
        <v>0.2218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úchytová lišta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spojovacia skrutka</v>
      </c>
      <c r="B39" s="5">
        <v>89244</v>
      </c>
      <c r="C39" s="23" t="str">
        <f>+VLOOKUP(B39,cennik!A:G,2,FALSE)</f>
        <v>SEVROLL 20001 skrutkovrut 6,3x32 SEVROLL a Simple</v>
      </c>
      <c r="D39" s="15">
        <f>+D4*4</f>
        <v>0</v>
      </c>
      <c r="E39" s="86">
        <f>+VLOOKUP(B39,cennik!A:G,3,FALSE)</f>
        <v>0.15614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horný profil rámu (vodiaca lišta)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horný profil rámu (vodiaca lišta)</v>
      </c>
      <c r="B41" s="5" t="e">
        <f>IF(L34&lt;&gt;"jiné",VLOOKUP(L34,data!C384:D389,2,0),"")</f>
        <v>#VALUE!</v>
      </c>
      <c r="C41" s="478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horizontálny spodný profil rámu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4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horizontálny spodný profil rámu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4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4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Voliteľné príslušenstvo:</v>
      </c>
      <c r="B45" s="7"/>
      <c r="D45" s="24" t="str">
        <f>System10!D41</f>
        <v>zadajte počet:</v>
      </c>
      <c r="E45" s="90"/>
      <c r="F45" s="90"/>
      <c r="G45" s="89"/>
      <c r="I45" s="364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pozicionér do horného vedenia</v>
      </c>
      <c r="B46" s="7">
        <v>298035</v>
      </c>
      <c r="C46" s="23" t="str">
        <f>+VLOOKUP(B46,cennik!A:G,2,FALSE)</f>
        <v>SEVROLL 20326 Fix pozicionér pre horný vozík transparentný</v>
      </c>
      <c r="D46" s="27"/>
      <c r="E46" s="86">
        <f>+VLOOKUP(B46,cennik!A:G,3,FALSE)</f>
        <v>1.0929500000000001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 xml:space="preserve">pozicionér </v>
      </c>
      <c r="B47" s="594">
        <v>229681</v>
      </c>
      <c r="C47" s="23" t="str">
        <f>+VLOOKUP(B47,cennik!A:G,2,FALSE)</f>
        <v>SEVROLL 10163 Simple/Blue pozicionér pre spodný vozík</v>
      </c>
      <c r="D47" s="27"/>
      <c r="E47" s="86">
        <f>+VLOOKUP(B47,cennik!A:G,3,FALSE)</f>
        <v>0.36431999999999998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skrutka k spodnémi vedeniu</v>
      </c>
      <c r="B48" s="7">
        <v>98019</v>
      </c>
      <c r="C48" s="23" t="str">
        <f>+VLOOKUP(B48,cennik!A:G,2,FALSE)</f>
        <v>SEVROLL 20041 skrutka 2,5x18mm polguľatá hlava zinok biely</v>
      </c>
      <c r="D48" s="27"/>
      <c r="E48" s="86">
        <f>+VLOOKUP(B48,cennik!A:G,3,FALSE)</f>
        <v>2.9409999999999999E-2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spojovací H profil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spojovací H profil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spojovací H profil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 Tlmič dorazu MINI do 25 kg (pár)</v>
      </c>
      <c r="B52" s="15">
        <v>350024</v>
      </c>
      <c r="C52" s="23" t="str">
        <f>+VLOOKUP(B52,cennik!A:G,2,FALSE)</f>
        <v>SEVROLL 20375-BL tlmič dorazu Simple/Blue 10/18 25kg L+P</v>
      </c>
      <c r="D52" s="413"/>
      <c r="E52" s="86">
        <f>+VLOOKUP(B52,cennik!A:G,3,FALSE)</f>
        <v>24.695450000000001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4" t="str">
        <f>IFERROR(IF((VLOOKUP(B52,cennik!A:L,12,0))="O",texty!A250,""),"")</f>
        <v>Na objednávku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 Tlmič dorazu MINI do 40 kg (pár)</v>
      </c>
      <c r="B53" s="22">
        <v>293776</v>
      </c>
      <c r="C53" s="23" t="str">
        <f>+VLOOKUP(B53,cennik!A:G,2,FALSE)</f>
        <v>SEVROLL tlmič doraz.Simple 10/18, 25 - 40kg (L+P)</v>
      </c>
      <c r="D53" s="27"/>
      <c r="E53" s="86">
        <f>+VLOOKUP(B53,cennik!A:G,3,FALSE)</f>
        <v>24.695450000000001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4" t="str">
        <f>IFERROR(IF((VLOOKUP(B53,cennik!A:L,12,0))="O",texty!A250,""),"")</f>
        <v>Na objednávku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5"/>
      <c r="B54" s="420"/>
      <c r="C54" s="416"/>
      <c r="D54" s="414"/>
      <c r="E54" s="417"/>
      <c r="F54" s="421"/>
      <c r="G54" s="418"/>
      <c r="H54" s="419"/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5"/>
      <c r="B55" s="420"/>
      <c r="C55" s="416"/>
      <c r="D55" s="414"/>
      <c r="E55" s="417"/>
      <c r="F55" s="421"/>
      <c r="G55" s="418"/>
      <c r="H55" s="419"/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5"/>
      <c r="B56" s="420"/>
      <c r="C56" s="416"/>
      <c r="D56" s="414"/>
      <c r="E56" s="417"/>
      <c r="F56" s="421"/>
      <c r="G56" s="418"/>
      <c r="H56" s="419"/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spojovacia skrutka</v>
      </c>
      <c r="B57" s="15">
        <v>89244</v>
      </c>
      <c r="C57" s="23" t="str">
        <f>+VLOOKUP(B57,cennik!A:G,2,FALSE)</f>
        <v>SEVROLL 20001 skrutkovrut 6,3x32 SEVROLL a Simple</v>
      </c>
      <c r="D57" s="28"/>
      <c r="E57" s="86">
        <f>+VLOOKUP(B57,cennik!A:G,3,FALSE)</f>
        <v>0.15614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4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4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4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Potrebná dĺžka tesnenia pri celkovom presklení (nutné objednať celé metre)</v>
      </c>
      <c r="D61" s="35" t="str">
        <f>IFERROR((CEILING(((B9+C9)*2/1000*D4),1)),"")</f>
        <v/>
      </c>
      <c r="E61" s="89"/>
      <c r="F61" s="89"/>
      <c r="G61" s="89"/>
      <c r="I61" s="364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(pri kombináciach s H profilmi je nutné pripočítať potrebnú dĺžku - tesnenie musí byť po celom odvode každého skla</v>
      </c>
      <c r="B62" s="42"/>
      <c r="C62" s="43"/>
      <c r="D62" s="42"/>
      <c r="E62" s="94"/>
      <c r="F62" s="94"/>
      <c r="G62" s="94"/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tesnenie na sklo 4mm</v>
      </c>
      <c r="B63" s="15">
        <v>89238</v>
      </c>
      <c r="C63" s="23" t="str">
        <f>+VLOOKUP(B63,cennik!A:G,2,FALSE)</f>
        <v>SEVROLL 20031-SV tesnenie na sklo 10/4mm</v>
      </c>
      <c r="D63" s="41"/>
      <c r="E63" s="86">
        <f>+VLOOKUP(B63,cennik!A:G,3,FALSE)</f>
        <v>0.80669999999999997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4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tesnenie na sklo 4,5 mm</v>
      </c>
      <c r="B64" s="15">
        <v>135164</v>
      </c>
      <c r="C64" s="23" t="str">
        <f>+VLOOKUP(B64,cennik!A:G,2,FALSE)</f>
        <v>SEVROLL 20032-SV tesnenie na sklo 10/4,5mm</v>
      </c>
      <c r="D64" s="41"/>
      <c r="E64" s="86">
        <f>+VLOOKUP(B64,cennik!A:G,3,FALSE)</f>
        <v>0.80669999999999997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tesnenie na sklo 6mm</v>
      </c>
      <c r="B65" s="15">
        <v>89243</v>
      </c>
      <c r="C65" s="23" t="str">
        <f>+VLOOKUP(B65,cennik!A:G,2,FALSE)</f>
        <v>SEVROLL 20033-SV tesnenie na sklo 10/6mm</v>
      </c>
      <c r="D65" s="41"/>
      <c r="E65" s="86">
        <f>+VLOOKUP(B65,cennik!A:G,3,FALSE)</f>
        <v>0.80669999999999997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Ďalšie príslušenstvo</v>
      </c>
      <c r="E66" s="89"/>
      <c r="F66" s="89"/>
      <c r="G66" s="89"/>
      <c r="I66" s="364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Technický nákres tohoto systému</v>
      </c>
      <c r="B67" s="196">
        <v>128842</v>
      </c>
      <c r="C67" s="479" t="str">
        <f>VLOOKUP(B67,cennik!A:C,2,0)</f>
        <v>SEVROLL 20144 vrták stupňovitý 6,5/9,5mm</v>
      </c>
      <c r="D67" s="41"/>
      <c r="E67" s="86">
        <f>+VLOOKUP(B67,cennik!A:G,3,FALSE)</f>
        <v>26.752659999999999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4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CELKOM  (bez DPH)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 xml:space="preserve">strieborná </v>
      </c>
    </row>
    <row r="70" spans="1:13" ht="12.75" customHeight="1" x14ac:dyDescent="0.25">
      <c r="A70" s="70" t="str">
        <f>System10!A67</f>
        <v>Vaša poznámka:</v>
      </c>
      <c r="B70" s="703"/>
      <c r="C70" s="704"/>
      <c r="D70" s="704"/>
      <c r="E70" s="704"/>
      <c r="F70" s="704"/>
      <c r="G70" s="704"/>
      <c r="K70" s="4" t="str">
        <f>texty!A130</f>
        <v>oliva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niektoré položky sa vo vybranej dĺžke nevyrábajú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5" priority="4">
      <formula>SUM($D$52:$D$53)&gt;0</formula>
    </cfRule>
  </conditionalFormatting>
  <conditionalFormatting sqref="A16">
    <cfRule type="expression" dxfId="174" priority="3">
      <formula>SUM($D$55:$D$56)&gt;0</formula>
    </cfRule>
  </conditionalFormatting>
  <conditionalFormatting sqref="D6">
    <cfRule type="expression" dxfId="172" priority="8">
      <formula>$D$4=4</formula>
    </cfRule>
    <cfRule type="expression" dxfId="171" priority="9">
      <formula>$D$4&lt;&gt;4</formula>
    </cfRule>
  </conditionalFormatting>
  <conditionalFormatting sqref="D57">
    <cfRule type="expression" dxfId="170" priority="5" stopIfTrue="1">
      <formula>IF(OR($D$49&gt;0,$D$50&gt;0,$D$51&gt;0),IF($D$57=0,1,0),0)</formula>
    </cfRule>
  </conditionalFormatting>
  <conditionalFormatting sqref="F4:I6">
    <cfRule type="expression" dxfId="169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texty!A262</f>
        <v>Arte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603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52">
        <v>496998</v>
      </c>
      <c r="C31" s="23" t="str">
        <f>+VLOOKUP(B31,cennik!A:G,2,FALSE)</f>
        <v>SEVROLL 05691 GM 18 horný vozík 18mm - 2ks</v>
      </c>
      <c r="D31" s="15">
        <f>IF((D50+D51)&gt;D4,0,D4-(D50+D51))</f>
        <v>0</v>
      </c>
      <c r="E31" s="86">
        <f>+VLOOKUP(B31,cennik!A:G,3,FALSE)</f>
        <v>5.7509899999999998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52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5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52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52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52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20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20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20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20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52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20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20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52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52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52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1">
        <v>129677</v>
      </c>
      <c r="C65" s="482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1">
        <v>128842</v>
      </c>
      <c r="C66" s="482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čierna mat</v>
      </c>
      <c r="M70" s="19"/>
    </row>
    <row r="71" spans="1:14" ht="12.75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Mp0W/Ng3bch3m4UMFhr8Us0N046R87KlSHSMpbImd6s53Yo0iZPidNdbRzmiOjFG9tsy3daQEWqxoVcKA3JIyA==" saltValue="536vwLLZT5Stvd+W/TmLLg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8" priority="3">
      <formula>SUM($D$47:$D$48)&gt;0</formula>
    </cfRule>
  </conditionalFormatting>
  <conditionalFormatting sqref="D6">
    <cfRule type="expression" dxfId="166" priority="7">
      <formula>$D$4=4</formula>
    </cfRule>
    <cfRule type="expression" dxfId="165" priority="8">
      <formula>$D$4&lt;&gt;4</formula>
    </cfRule>
  </conditionalFormatting>
  <conditionalFormatting sqref="D54">
    <cfRule type="expression" dxfId="164" priority="9" stopIfTrue="1">
      <formula>IF($D$53&gt;0,IF($D$54=0,1,0),0)</formula>
    </cfRule>
  </conditionalFormatting>
  <conditionalFormatting sqref="G4">
    <cfRule type="expression" dxfId="163" priority="6">
      <formula>$D$4=4</formula>
    </cfRule>
  </conditionalFormatting>
  <conditionalFormatting sqref="I20">
    <cfRule type="expression" dxfId="162" priority="4">
      <formula>$F$4=$M$69</formula>
    </cfRule>
  </conditionalFormatting>
  <conditionalFormatting sqref="I22">
    <cfRule type="expression" dxfId="161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184" activePane="bottomLeft" state="frozenSplit"/>
      <selection activeCell="I60" sqref="I60"/>
      <selection pane="bottomLeft" activeCell="A215" sqref="A215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6">
        <f>cennik!A2</f>
        <v>2</v>
      </c>
      <c r="H1" t="s">
        <v>101</v>
      </c>
      <c r="I1" t="s">
        <v>8786</v>
      </c>
      <c r="J1" t="s">
        <v>8787</v>
      </c>
      <c r="K1" s="570" t="s">
        <v>8788</v>
      </c>
    </row>
    <row r="2" spans="1:11" ht="14.4" x14ac:dyDescent="0.3">
      <c r="A2" t="str">
        <f>IF($G$1=1,B2,IF($G$1=2,D2,IF($G$1=3,E2,IF($G$1=4,C2,IF($G$1=5,I2,IF($G$1=6,J2,IF($G$1=7,K2,"zadat jazyk")))))))</f>
        <v>druhá lišta nieje potrebná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táto položka je na objednávku, počítajte prosím s dodaciou  lehotou  do 4 týždnov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k tejto farbe nieje k dispozícií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oliva kartáčovaná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Pokiaľ budete používať ako výplň sklo / zrkadlo, je nutné doobjednať tesnenie. Dĺžka tesnenia na jedno krídlo je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Pokiaľ budete používať ako výplň sklo / zrkadlo, je nutné doobjednať tesnenie. Dĺžka tesnenia na jedno krídlo je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pokiaľ je preskenných viac krídel, treba vynásobiť.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ks, pokiaľ je preskenných viac krídel, treba vynásobiť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Potrebná dĺžka tesnenia pri celkovom presklení (nutné objednať celé metre)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Potrebná dĺžka tesnenia pri celkovom presklení (nutné objednať celé metre)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(pri kombináciach s H profilmi je nutné pripočítať potrebnú dĺžku - tesnenie musí byť po celom odvode každého skla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(pri kombináciach s H profilmi je nutné pripočítať potrebnú dĺžku - tesnenie musí byť po celom odvode každého skla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Vaša poznámka: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CELKOM  (bez DPH)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názov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ks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cena/ks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cena celkom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celkom netto: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partnerská zľava: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KOVANIE NA VSTAVANÉ SKRINE: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Zákazník: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Názov: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Ulica: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Mesto, PSČ: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IČO: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Zľava: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Poznámka: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Výplň tl. 10mm(lebo sklo/zrkadlo s použitím tesnenia - hr.4 alebo 6mm) - rámové dvere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Výplň tl. 4 mm ( sklo lebo zrkadlo) - rámové dvere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Výplň 18mm (drevotrieska 18mm, prípadne kombinácia DTD + sklo / zrkadlo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zadajte počet: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výška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šírka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počet dverí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farba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 spodného vedenia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V prípade použitia skla ako výplne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je treba použiť bezpečnostné sklo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alebo sklo zabezpečiť ochrannou fóliou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u sklenenej výplne (alebo zrkadla)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Maximálna hmotnosť krídla je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Maximálna hmotnosť krídla je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vypíšte týchto 5 políčok !!! Údaje v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vypíšte tieto 4 políčka !!! Údaje v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krídlo dverí: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rozmer výplne 18mm: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rozmer výplne 12mm: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rozmer zrkadla /na DTD 12mm/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dĺžka úchytkového profilu (+2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dodatočné odpočty výšky vypočítaných výplní pri použití deliacich profilov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>H18, T profil = 2mm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odpočítať v prípade sklenenej výplne = 4mm (2mm z každej strany)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viď obrázok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kartáčovaná oliva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výška až 3,5m!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výška až 3 m!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Na zostavu je možné použiť dekoračnú fóliu, viď vzorkovník fólií.Ceny sa líšia podľa dekoru, časť je na objednávku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cena podľa dekoru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systém GM 18 (kombinácia DTD 18mm a sklo) (rámový)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>systém Simple (kombinácia DTD 18mm a sklo)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rozmer výplne 16mm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Pri tejto zostave nie je možné použiť kombináciu so sklom / zrkadlom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Táto položka je na objednávku, počítajte prosím s dodacou dobou 3-4 týždne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Voliteľné príslušenstvo: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plocha k aplikácií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dekoračné fólie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Systémy:    Vzorkovník profilov objednávajte pod kódom 494207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VNÚTORNÝ ROZMER SKRINE: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krídlo dverí: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rozmer výplne 10 mm: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rozmer zrkadla / skla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dĺžka vodiacej a krycej lišty krídla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Horný/spodný profil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úchytová lišta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Dĺžka tesnenia na sklo na jednom krídle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dodatočné odpočty výšky vypočítaných výplní pri použití deliacich profilov výplne: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odpočet na tesnenie: 2mm/1strana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Objednávacie kódy, ceny: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Horný profil: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spodný profil: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krycí profil (maska):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horné vozíky (sady)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spodné vozíky (sada)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 xml:space="preserve">pozicionér 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>pozicionér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pozicionér do horného vedenia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dorazový kartáč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protiprachový kartáč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úchytová lišta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spojovacia skrutka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horný profil rámu (vodiaca lišta)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horný profil rámu (vodiaca lišta)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horizontálny spodný profil rámu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horizontálny spodný profil rámu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tlmič dorazu (pár)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tlmič dorazu (pár)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tlmič dorazu Simple (pár)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spojovací profil H10-3metre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spojovací profil H30-3metre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tesnenie na sklo 4mm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tesnenie na sklo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tesnenie na sklo 6mm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tesnenie na sklo 4mm asymetrické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horný profil: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spodný profil: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krycí profil = maska: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horný vozík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spodný vozík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pozicionér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protiprachový kartáč samolepiaci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úchytková lišta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spojovací profil H18-3metre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spojovací T profil - 3metre /s drážkou/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spojovací T profil - 3metre /s lemom/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 na DTD 18mm - 3 metre /hladký/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 na DTD 18mm - 3 metre /lem/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uholník mini 11x17mm - 1,7m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uholník mini 11x17mm - 2,35m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uholník mini 11x17mm - 3m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uholník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uholník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uholník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tlmič dorazu (ks)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DTD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zrkadlo / sklo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 xml:space="preserve">strieborná 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zlatá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oliva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oliva kartáčovaná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biela lesk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doprodej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Vyplnte prosím kontatkné údaje, taktiež môžete zadať svoju zákaznícku zľavu.Tieto údaje sa prenesú na jednotlivé listy.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Vyberte požadovaný typ úchytného profilu (kliknite na názov profilu pod obrázkom)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Na stránke so zostavou profilou vyplnte rozmer otvoru.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>4. Vyplnte počet dverí, z ktorých sa bude zostava skladať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Vyberte požadovanú farbu profilu (kliknite na okienko so šipkou - rozbalí sa zoznam, tu vyberte farbu)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V prípade, že chcete dvere rozdeliť deliacími profilmi, doplnte v spodnej časti formuláru potrebný počet líšt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Pri použití skla alebo zrkadla je nutné použiť tesniaci profil. Vzhľadom k možnej kombinácií skla s doskami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 xml:space="preserve">    nie je možné určiť dĺžku tesnenia predom. V zostave je vypočítaná dĺžka tesnenia na jedno krídlo.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 xml:space="preserve">    Ďalej je spočítaná dĺžka v prípade, že celá zostava je zo skla / zrkadla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V prípade delenia úchytového profilu je kalkulovaná šírka rezu 5mm.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Návod na použitie: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Vzorkovník fólií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okrem zelene označených dekorov sú fólie na objednávku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Zobrazenie farieb a dekorov je orientačné a môže byť skreslené vplyvom nastavenia a farebného podania monitora apod.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Na vyžiadanie môžeme zaslať fyzický vzorkovník 179111.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skladom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k tejto farbe nieje potrebný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>NOVINKA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NOVINKA, len na objednávku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Spracované na základe údajov dodaných výrobcom, chyby vyhradené, zvlášť v prípade hromadnej výroby odporúčame najprv výrobu skúšobného prototypu.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Zadajte požadovanú frbu fólie (balenie je 14,7 bm, šírka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Zadajte prosím požadovaný počet metrov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Zadajte požadovaný počet balení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dopredaj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100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 xml:space="preserve">Ak navýšite objednávku o 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 xml:space="preserve"> dostanete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tlmič zadarmo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skladom sety pre 2 a 3 krídla pre dĺžky 1,8 m (2kř.), 2,5 m (3 kr.) a 2,7 m (2 kr.)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inovovaný profil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nasúvacia kefka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novo skladom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niekroté položky možu byť na objednávku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spojovací profil H18 MAXIM 1,8m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spojovací profil H18 MAXIM 2,5m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spojovací profil H25 MAXIM 1,8m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spojovací profil H25 MAXIM 2,5m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> Doporučujeme dokúpiť ešte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 ks tlmiče, aby bola zostava kompletná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TLMIČ POSUVNÝCH DV. SEVROLL - AKCIA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Odpočet výšky pri montaži tlmiča 11027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(pre všetky parametry)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>Maximálna dlžka vedenia je 3,6 m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skrutka k spodnémi vedeniu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uholník 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uholník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uholník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uholník 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uholník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uholník  20x26mm - 3,6m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spojovací profil H - 3metre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kart. čierna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kart. tm. oliva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spojovací profil H25 2,7m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Ďalšie príslušenstvo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Akcia - tlmič zdarma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ks pre lamino 18mm, týká se úch. profilov  Alfa, Tytan, Oaza, Victoria, Factor, Focus, Universal, Ergo, tlmič kód 11027,akcia platí do vypredania zásob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Späť na úvodnú stránku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Max. veľkosť krídla so zrkadlom je 2400x700mm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Jednoduché vedenie pre systémy: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Spona dorazovej kefky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Možnosť dodania kompletných sád profilov + kovania: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sada 2 krídla, šírka 1,8m (profily 182716 + kovanie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sada 3 krídla, šírka 2,5m (profily 188479 + kovanie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 xml:space="preserve">Objednané položky sád nie sú rovnaké odpovedajúce
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kart. čierna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kart. tm. oliva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spojovací H profil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spojovací H21 profil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spojovací H28 profil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Upevňovacie kliny Blue 40ks (sklo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Systém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Do poľa poznámka môžete doplniť prípadné zmeny, pripomienky apod.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 xml:space="preserve"> zásuvný protiprachový kartáč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záslepko spodného vedenia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Pri dvoch prekrytiach môžete pre výpočet rozmerov krídel využiť zadanie polovičnej šírky a 2 krídel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Krídla pri zvolenej konfigurácií sú úzke a vysoké, zvlášť pri použití tlmiča môže dochádzať k nadskakovaniu krídla.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OCHRANNÉ FÓLIE NA SKLENENÉ VÝPLNE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některé položky sú na objednávku, počítajte prosím s dodaciou  lehotou  do 5 týždnov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niektoré položky sa vo vybranej dĺžke nevyrábajú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LAKOVANIE PROFILOV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možnosť nalakovať do akéhokoľvek odtieňa RAL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 voľba lesk / mat (pri objednávke je nutná špecifikácia)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obmedzenie na max dĺžku 3,85m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(bezrámovo)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(rámový)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 Systém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Montážne inštrukcie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http://www.demos24plus.com/_Catalogs/sk/Kovani2014/index.html#488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http://www.demos24plus.com/_Catalogs/sk/Kovani2014/index.html#484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http://www.demos24plus.com/_Catalogs/sk/Kovani2014/index.html#472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 Zvolili ste 4 krídla, zvoľte počet preložení (2 alebo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 Tlmič dorazu MINI do 25 kg (pár)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 Tlmič dorazu MINI do 40 kg (pár)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 Tlmič dorazu MINI do 60 kg (pár)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 Tlmič pre stredné krídlo do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 Tlmič pre stredné krídlo do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 Výstuha – profil 3m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 záslepka otvorov (4 ks)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 Maximálna šírka krídla môže byť 1 100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 nalepovacia úchytka, biela lesk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 nalepovacia úchytka, strieborná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 Ozdobné nalepovacie lišty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 v tejto farbe a dĺžke sa daný profil nevyrába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zámok posuvných dverí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klínok pre dilatáciu výplne 16mm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dilatácia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Katalóg Kovania 2024 str.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Technický nákres tohoto systému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V prípade použitia centrálneho tlmiča musíte znížiť výšku krídla (len toho, kde je centrálny tlmič umiestnený) o ďalšie 2 mm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V prípade použitia centrálneho tlmiča musíte znížiť výšku krídla (len toho, kde je centrálny tlmič umiestnený) o ďalšie 4 mm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V prípade použitia tlmiča MINI SV musíte znížiť výšku krídla o ďalšie 4 mm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V prípade použitia centrálneho tlmiča musíte znížiť výšku krídla (len toho, kde je centrálny tlmič umiestnený) o ďalších 9 mm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V prípade použitia centrálneho tlmiča musíte znížiť výšku krídla (len toho, kde je centrálny tlmič umiestnený) o ďalší 4 mm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Na objednávku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spojovací profil H18-3metre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spojovací profil H25-3metre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systém GM 18 (kombinácia DTD 18mm a sklo) (bezrámovo)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(rámový)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(bezrámovo)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(rámový)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(bezrámovo)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(rámový)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(bezrámovo)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(rámový)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(bezrámovo)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(rámový)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(bezrámovo)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čierna štrukturálna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spojovací profil H08/18 - 3 metre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úchytová lišta 100mm čierna mat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úchytová liš.100mm biela mat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úchytová lišta 100mm čierna lesk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úchytová lišta 100mm strieborná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úchytová lišta 100mm oliva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úchytová lišta 18mm 100m grafit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úchytová lišta 100mm oliva tmavá kartáčovaná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úchytová lišta 18mm 100m čierna štrukturálna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Malé vzorky profilov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kód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9">
        <v>462140</v>
      </c>
      <c r="E277" s="130" t="str">
        <f>A267</f>
        <v>Alfa II úchytová lišta 100mm čierna mat</v>
      </c>
    </row>
    <row r="278" spans="1:11" ht="14.4" x14ac:dyDescent="0.25">
      <c r="D278" s="579">
        <v>462141</v>
      </c>
      <c r="E278" s="130" t="str">
        <f t="shared" ref="E278:E284" si="5">A268</f>
        <v>Faworyt II úchytová liš.100mm biela mat</v>
      </c>
    </row>
    <row r="279" spans="1:11" ht="14.4" x14ac:dyDescent="0.25">
      <c r="D279" s="579">
        <v>462142</v>
      </c>
      <c r="E279" s="130" t="str">
        <f t="shared" si="5"/>
        <v>Fox II úchytová lišta 100mm čierna lesk</v>
      </c>
    </row>
    <row r="280" spans="1:11" ht="14.4" x14ac:dyDescent="0.25">
      <c r="D280" s="579">
        <v>462153</v>
      </c>
      <c r="E280" s="130" t="str">
        <f t="shared" si="5"/>
        <v>Vitara úchytová lišta 100mm strieborná</v>
      </c>
    </row>
    <row r="281" spans="1:11" ht="14.4" x14ac:dyDescent="0.25">
      <c r="D281" s="579">
        <v>462154</v>
      </c>
      <c r="E281" s="130" t="str">
        <f t="shared" si="5"/>
        <v>Lynx úchytová lišta 100mm oliva</v>
      </c>
    </row>
    <row r="282" spans="1:11" ht="14.4" x14ac:dyDescent="0.25">
      <c r="D282" s="579">
        <v>495479</v>
      </c>
      <c r="E282" s="130" t="str">
        <f t="shared" si="5"/>
        <v>Alfa II úchytová lišta 18mm 100m grafit</v>
      </c>
    </row>
    <row r="283" spans="1:11" ht="14.4" x14ac:dyDescent="0.25">
      <c r="D283" s="579">
        <v>524036</v>
      </c>
      <c r="E283" s="130" t="str">
        <f t="shared" si="5"/>
        <v>Victoria II úchytová lišta 100mm oliva tmavá kartáčovaná</v>
      </c>
    </row>
    <row r="284" spans="1:11" ht="14.4" x14ac:dyDescent="0.3">
      <c r="D284" s="580">
        <v>526554</v>
      </c>
      <c r="E284" s="130" t="str">
        <f t="shared" si="5"/>
        <v>Alfa II úchytová lišta 18mm 100m čierna štrukturálna</v>
      </c>
    </row>
    <row r="287" spans="1:11" ht="14.4" x14ac:dyDescent="0.3">
      <c r="D287" s="577"/>
      <c r="E287" s="577"/>
      <c r="F287" s="577"/>
      <c r="G287" s="577"/>
      <c r="H287" s="577"/>
    </row>
    <row r="288" spans="1:11" ht="14.4" x14ac:dyDescent="0.3">
      <c r="D288" s="578"/>
      <c r="E288" s="577"/>
      <c r="G288" s="577"/>
    </row>
    <row r="289" spans="4:7" ht="14.4" x14ac:dyDescent="0.3">
      <c r="D289" s="578"/>
      <c r="E289" s="577"/>
      <c r="G289" s="577"/>
    </row>
    <row r="290" spans="4:7" ht="14.4" x14ac:dyDescent="0.3">
      <c r="D290" s="578"/>
      <c r="E290" s="577"/>
      <c r="G290" s="577"/>
    </row>
    <row r="291" spans="4:7" ht="14.4" x14ac:dyDescent="0.3">
      <c r="D291" s="578"/>
      <c r="E291" s="577"/>
      <c r="G291" s="577"/>
    </row>
    <row r="292" spans="4:7" ht="14.4" x14ac:dyDescent="0.3">
      <c r="D292" s="578"/>
      <c r="E292" s="577"/>
      <c r="G292" s="577"/>
    </row>
    <row r="293" spans="4:7" ht="14.4" x14ac:dyDescent="0.3">
      <c r="D293" s="578"/>
      <c r="E293" s="577"/>
      <c r="G293" s="577"/>
    </row>
    <row r="294" spans="4:7" ht="14.4" x14ac:dyDescent="0.3">
      <c r="D294" s="578"/>
      <c r="E294" s="577"/>
      <c r="G294" s="577"/>
    </row>
    <row r="295" spans="4:7" ht="14.4" x14ac:dyDescent="0.3">
      <c r="D295" s="578"/>
      <c r="E295" s="577"/>
      <c r="G295" s="577"/>
    </row>
    <row r="296" spans="4:7" ht="14.4" x14ac:dyDescent="0.3">
      <c r="D296" s="578"/>
      <c r="E296" s="577"/>
      <c r="G296" s="577"/>
    </row>
    <row r="297" spans="4:7" ht="14.4" x14ac:dyDescent="0.3">
      <c r="D297" s="578"/>
      <c r="E297" s="577"/>
      <c r="G297" s="577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tr">
        <f>texty!A263</f>
        <v>Arte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7" t="str">
        <f>CONCATENATE(texty!A243," ",7,".",35)</f>
        <v>Katalóg Kovania 2024 str. 7.35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63"/>
      <c r="C10" s="501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499"/>
      <c r="C11" s="500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7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52">
        <v>496998</v>
      </c>
      <c r="C31" s="23" t="str">
        <f>+VLOOKUP(B31,cennik!A:G,2,FALSE)</f>
        <v>SEVROLL 05691 GM 18 horný vozík 18mm - 2ks</v>
      </c>
      <c r="D31" s="15">
        <f>IF((D50+D51)&gt;D4,0,D4-(D50+D51))</f>
        <v>0</v>
      </c>
      <c r="E31" s="86">
        <f>+VLOOKUP(B31,cennik!A:G,3,FALSE)</f>
        <v>5.7509899999999998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52">
        <f>IF(F4=M68,362316,229440)</f>
        <v>229440</v>
      </c>
      <c r="C32" s="23" t="str">
        <f>+VLOOKUP(B32,cennik!A:G,2,FALSE)</f>
        <v>SEVROLL 10198 spodný vozík WD 18C HI-TEC - 2ks</v>
      </c>
      <c r="D32" s="15">
        <f>+D4</f>
        <v>0</v>
      </c>
      <c r="E32" s="86">
        <f>+VLOOKUP(B32,cennik!A:G,3,FALSE)</f>
        <v>5.2305400000000004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52"/>
      <c r="C35" s="23"/>
      <c r="D35" s="15"/>
      <c r="E35" s="86"/>
      <c r="F35" s="86"/>
      <c r="G35" s="87"/>
      <c r="H35" s="22"/>
      <c r="I35" s="364"/>
      <c r="K35" s="174"/>
      <c r="L35" s="3"/>
    </row>
    <row r="36" spans="1:12" ht="12.75" customHeight="1" x14ac:dyDescent="0.25">
      <c r="A36" s="320"/>
      <c r="B36" s="452"/>
      <c r="C36" s="23"/>
      <c r="D36" s="60"/>
      <c r="E36" s="86"/>
      <c r="F36" s="86"/>
      <c r="G36" s="87"/>
      <c r="H36" s="22"/>
      <c r="I36" s="364"/>
      <c r="K36" s="174"/>
      <c r="L36" s="3"/>
    </row>
    <row r="37" spans="1:12" ht="12.75" customHeight="1" x14ac:dyDescent="0.25">
      <c r="A37" s="320"/>
      <c r="B37" s="420"/>
      <c r="C37" s="341"/>
      <c r="D37" s="60"/>
      <c r="E37" s="342"/>
      <c r="F37" s="86"/>
      <c r="G37" s="87"/>
      <c r="H37" s="22"/>
      <c r="I37" s="364"/>
      <c r="K37" s="174"/>
      <c r="L37" s="3"/>
    </row>
    <row r="38" spans="1:12" ht="12.75" customHeight="1" x14ac:dyDescent="0.25">
      <c r="A38" s="320"/>
      <c r="B38" s="452"/>
      <c r="C38" s="23"/>
      <c r="D38" s="60"/>
      <c r="E38" s="86"/>
      <c r="F38" s="86"/>
      <c r="G38" s="87"/>
      <c r="H38" s="22"/>
      <c r="I38" s="364"/>
      <c r="K38" s="174"/>
      <c r="L38" s="3"/>
    </row>
    <row r="39" spans="1:12" ht="12.75" customHeight="1" x14ac:dyDescent="0.25">
      <c r="A39" s="320"/>
      <c r="B39" s="420"/>
      <c r="C39" s="23"/>
      <c r="D39" s="60"/>
      <c r="E39" s="342"/>
      <c r="F39" s="86"/>
      <c r="G39" s="87"/>
      <c r="H39" s="22"/>
      <c r="I39" s="364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52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52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52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20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20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20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20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52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20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20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52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52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>
        <f>IFERROR((CEILING(((B9+C9)*2/1000*D4),1)),"")</f>
        <v>0</v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52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Technický nákres tohoto systému</v>
      </c>
      <c r="B65" s="481">
        <v>129677</v>
      </c>
      <c r="C65" s="483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81">
        <v>128842</v>
      </c>
      <c r="C66" s="483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čierna mat</v>
      </c>
      <c r="M70" s="19"/>
    </row>
    <row r="71" spans="1:14" ht="12.75" hidden="1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CwBJIAjSsPxyQl5o50cVKdcgKv8vnZsuR3qYQa34DVX9sdFGebCqPesrrMApqmrScQmxR0lTfeEvnNWbV6Chqw==" saltValue="MRNkAKJgQ7TKT9Uq3nRyp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60" priority="2">
      <formula>SUM($D$47:$D$48)&gt;0</formula>
    </cfRule>
  </conditionalFormatting>
  <conditionalFormatting sqref="D6">
    <cfRule type="expression" dxfId="158" priority="6">
      <formula>$D$4=4</formula>
    </cfRule>
    <cfRule type="expression" dxfId="157" priority="7">
      <formula>$D$4&lt;&gt;4</formula>
    </cfRule>
  </conditionalFormatting>
  <conditionalFormatting sqref="D54">
    <cfRule type="expression" dxfId="156" priority="8" stopIfTrue="1">
      <formula>IF($D$53&gt;0,IF($D$54=0,1,0),0)</formula>
    </cfRule>
  </conditionalFormatting>
  <conditionalFormatting sqref="G4">
    <cfRule type="expression" dxfId="155" priority="5">
      <formula>$D$4=4</formula>
    </cfRule>
  </conditionalFormatting>
  <conditionalFormatting sqref="I19:I20">
    <cfRule type="expression" dxfId="154" priority="3">
      <formula>$F$4=$M$69</formula>
    </cfRule>
  </conditionalFormatting>
  <conditionalFormatting sqref="I21:I22">
    <cfRule type="expression" dxfId="153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texty!A256</f>
        <v>Porto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7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3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7" t="str">
        <f>texty!A242</f>
        <v>dilatácia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52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52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5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52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52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52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20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20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20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20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52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20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20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52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52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52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4">
        <v>129677</v>
      </c>
      <c r="C65" s="485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fB2xcS5ldt3MBV0o1SbbTyXJThk7YsCrIeMGvS2RwrxyjE5OHwqZ6IGspxuGJP0LyxDCmqBnilCrNNA47MfSQ==" saltValue="4yqKpEaRzfpifEcr9fYWjg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2" priority="2">
      <formula>SUM($D$47:$D$48)&gt;0</formula>
    </cfRule>
  </conditionalFormatting>
  <conditionalFormatting sqref="D6">
    <cfRule type="expression" dxfId="150" priority="6">
      <formula>$D$4=4</formula>
    </cfRule>
    <cfRule type="expression" dxfId="149" priority="7">
      <formula>$D$4&lt;&gt;4</formula>
    </cfRule>
  </conditionalFormatting>
  <conditionalFormatting sqref="D54">
    <cfRule type="expression" dxfId="148" priority="8" stopIfTrue="1">
      <formula>IF($D$53&gt;0,IF($D$54=0,1,0),0)</formula>
    </cfRule>
  </conditionalFormatting>
  <conditionalFormatting sqref="G4">
    <cfRule type="expression" dxfId="147" priority="5">
      <formula>$D$4=4</formula>
    </cfRule>
  </conditionalFormatting>
  <conditionalFormatting sqref="I20">
    <cfRule type="expression" dxfId="146" priority="3">
      <formula>$F$4=$M$69</formula>
    </cfRule>
  </conditionalFormatting>
  <conditionalFormatting sqref="I22">
    <cfRule type="expression" dxfId="145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7" t="str">
        <f>texty!A257</f>
        <v>Porto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7" t="str">
        <f>CONCATENATE(texty!A243," ",7,".",56)</f>
        <v>Katalóg Kovania 2024 str. 7.56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498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6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604" t="str">
        <f>texty!A78</f>
        <v>dodatočné odpočty výšky vypočítaných výplní pri použití deliacich profilov výplne: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602"/>
      <c r="B15" s="602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52">
        <v>228009</v>
      </c>
      <c r="C31" s="23" t="str">
        <f>+VLOOKUP(B31,cennik!A3:G984,2,FALSE)</f>
        <v>SEVROLL 10204 horný vozík Gemini symetrický 10mm - 2ks</v>
      </c>
      <c r="D31" s="15">
        <f>IF((D45+D46)&gt;D4,0,D4-(D45+D46))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52">
        <f>IF(F4=M63,328321,229441)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52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52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52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20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20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20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20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52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20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25.710319999999999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20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25.710319999999999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52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52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93"/>
      <c r="H57" s="22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84">
        <v>129677</v>
      </c>
      <c r="C60" s="485" t="str">
        <f>VLOOKUP(B60,cennik!A:C,2,0)</f>
        <v>SEVROLL 20173 montážny prípravok pre lamino 10mm malý</v>
      </c>
      <c r="D60" s="355"/>
      <c r="E60" s="86">
        <f>+VLOOKUP(B60,cennik!A:G,3,FALSE)</f>
        <v>5.0214600000000003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niektoré položky sa vo vybranej dĺžke nevyrábajú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f9ma+ChiuRTId6cWmKntZ3Cu6Tz0+pm84T/kA243DxBbscFTjA1DIMj8tP5vT7k11gAXGxYngYutID111RCGg==" saltValue="2RmqiUL48UGq1GMnm1Pn6g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44" priority="1">
      <formula>SUM(D42:D43)&gt;0</formula>
    </cfRule>
  </conditionalFormatting>
  <conditionalFormatting sqref="D6">
    <cfRule type="expression" dxfId="142" priority="6">
      <formula>$D$4=4</formula>
    </cfRule>
    <cfRule type="expression" dxfId="141" priority="7">
      <formula>$D$4&lt;&gt;4</formula>
    </cfRule>
  </conditionalFormatting>
  <conditionalFormatting sqref="D49">
    <cfRule type="expression" dxfId="140" priority="8" stopIfTrue="1">
      <formula>IF($D$48&gt;0,IF($D$49=0,1,0),0)</formula>
    </cfRule>
  </conditionalFormatting>
  <conditionalFormatting sqref="G4">
    <cfRule type="expression" dxfId="139" priority="5">
      <formula>$D$4=4</formula>
    </cfRule>
  </conditionalFormatting>
  <conditionalFormatting sqref="I20">
    <cfRule type="expression" dxfId="138" priority="9">
      <formula>$F$4=$M$64</formula>
    </cfRule>
  </conditionalFormatting>
  <conditionalFormatting sqref="I22">
    <cfRule type="expression" dxfId="137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texty!A254</f>
        <v>Prosper GM (rámový)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7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3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 t="str">
        <f>texty!A242</f>
        <v>dilatácia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452">
        <v>228009</v>
      </c>
      <c r="C31" s="23" t="str">
        <f>+VLOOKUP(B31,cennik!A3:G984,2,FALSE)</f>
        <v>SEVROLL 10204 horný vozík Gemini symetrický 10mm - 2ks</v>
      </c>
      <c r="D31" s="15">
        <f>IF((D50+D51)&gt;D4,0,D4-(D50+D51))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452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452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45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452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420" t="e">
        <f>IF(M30&lt;&gt;"jiné",+VLOOKUP(M30,data!C777:D785,2,0),"")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452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420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452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452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452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420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420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420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420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452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420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420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spojovací profil H18-3metre</v>
      </c>
      <c r="B52" s="452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spojovací profil H25-3metre</v>
      </c>
      <c r="B53" s="452" t="str">
        <f>IFERROR(VLOOKUP(P7,data!C891:D893,2,0),"N/A")</f>
        <v>N/A</v>
      </c>
      <c r="C53" s="23" t="str">
        <f>IF(B53=data!D64,texty!A239,+VLOOKUP(B53,cennik!A:G,2,FALSE))</f>
        <v> v tejto farbe a dĺžke sa daný profil nevyrába</v>
      </c>
      <c r="D53" s="278"/>
      <c r="E53" s="368">
        <f>IF(B53=data!D73,0,+VLOOKUP(B53,cennik!A:G,3,FALSE))</f>
        <v>0</v>
      </c>
      <c r="F53" s="368">
        <f>+E53*D53</f>
        <v>0</v>
      </c>
      <c r="G53" s="369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452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5"/>
      <c r="B55" s="452"/>
      <c r="C55" s="416"/>
      <c r="D55" s="453"/>
      <c r="E55" s="417"/>
      <c r="F55" s="417"/>
      <c r="G55" s="418"/>
      <c r="H55" s="420"/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5"/>
      <c r="B56" s="452"/>
      <c r="C56" s="416"/>
      <c r="D56" s="453"/>
      <c r="E56" s="417"/>
      <c r="F56" s="417"/>
      <c r="G56" s="418"/>
      <c r="H56" s="420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452" t="s">
        <v>67</v>
      </c>
      <c r="C61" s="23" t="str">
        <f>+VLOOKUP(B61,cennik!A:G,2,FALSE)</f>
        <v>SEVROLL 20106 tesnenie na sklo 18/4-4,5mm asymetrické</v>
      </c>
      <c r="D61" s="355"/>
      <c r="E61" s="86">
        <f>+VLOOKUP(B61,cennik!A:G,3,FALSE)</f>
        <v>2.3056100000000002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5"/>
      <c r="B62" s="452"/>
      <c r="C62" s="416"/>
      <c r="D62" s="453"/>
      <c r="E62" s="417"/>
      <c r="F62" s="421"/>
      <c r="G62" s="418"/>
      <c r="H62" s="420"/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5"/>
      <c r="B63" s="452"/>
      <c r="C63" s="416"/>
      <c r="D63" s="453"/>
      <c r="E63" s="417"/>
      <c r="F63" s="421"/>
      <c r="G63" s="418"/>
      <c r="H63" s="420"/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84">
        <v>129677</v>
      </c>
      <c r="C65" s="485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84">
        <v>128842</v>
      </c>
      <c r="C66" s="485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L3j5HWWfQ+KNCglfk2ULWaFN4XOtz+g5ehfzvx78feOw2yVr508bx8/00RWJikmlMj+hBF7bYPzhnH+jCdrRew==" saltValue="9uZz1ciA5cgTINzddovkC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6" priority="3">
      <formula>SUM($D$47:$D$48)&gt;0</formula>
    </cfRule>
  </conditionalFormatting>
  <conditionalFormatting sqref="D6">
    <cfRule type="expression" dxfId="134" priority="7">
      <formula>$D$4=4</formula>
    </cfRule>
    <cfRule type="expression" dxfId="133" priority="8">
      <formula>$D$4&lt;&gt;4</formula>
    </cfRule>
  </conditionalFormatting>
  <conditionalFormatting sqref="D54">
    <cfRule type="expression" dxfId="132" priority="9" stopIfTrue="1">
      <formula>IF($D$53&gt;0,IF($D$54=0,1,0),0)</formula>
    </cfRule>
  </conditionalFormatting>
  <conditionalFormatting sqref="G4">
    <cfRule type="expression" dxfId="131" priority="6">
      <formula>$D$4=4</formula>
    </cfRule>
  </conditionalFormatting>
  <conditionalFormatting sqref="I20">
    <cfRule type="expression" dxfId="130" priority="4">
      <formula>$F$4=$M$69</formula>
    </cfRule>
  </conditionalFormatting>
  <conditionalFormatting sqref="I22">
    <cfRule type="expression" dxfId="129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7" t="str">
        <f>texty!A255</f>
        <v>Prosper GM (bezrámovo)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7" t="str">
        <f>CONCATENATE(texty!A243," ",7,".",56)</f>
        <v>Katalóg Kovania 2024 str. 7.56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rozmer výplne 18mm: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Horný/spodný profil</v>
      </c>
      <c r="B9" s="496"/>
      <c r="C9" s="64" t="str">
        <f>TRIM(C4)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úchytová lišta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7"/>
      <c r="D11" s="15"/>
      <c r="E11" s="15"/>
      <c r="F11" s="15"/>
      <c r="G11" s="21" t="str">
        <f>texty!A43</f>
        <v>Maximálna hmotnosť krídla je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3" t="str">
        <f>texty!A78</f>
        <v>dodatočné odpočty výšky vypočítaných výplní pri použití deliacich profilov výplne: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3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Horný profil:</v>
      </c>
      <c r="B28" s="452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spodný profil:</v>
      </c>
      <c r="B29" s="452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krycí profil (maska):</v>
      </c>
      <c r="B30" s="452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horné vozíky (sady)</v>
      </c>
      <c r="B31" s="452">
        <v>228009</v>
      </c>
      <c r="C31" s="23" t="str">
        <f>+VLOOKUP(B31,cennik!A3:G984,2,FALSE)</f>
        <v>SEVROLL 10204 horný vozík Gemini symetrický 10mm - 2ks</v>
      </c>
      <c r="D31" s="15">
        <f>IF((D45+D46)&gt;D4,0,D4-(D45+D46))</f>
        <v>0</v>
      </c>
      <c r="E31" s="86">
        <f>+VLOOKUP(B31,cennik!A:G,3,FALSE)</f>
        <v>5.1758899999999999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spodné vozíky (sada)</v>
      </c>
      <c r="B32" s="452">
        <f>IF(F4=M63,328321,229441)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dorazový kartáč</v>
      </c>
      <c r="B33" s="452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452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Voliteľné príslušenstvo:</v>
      </c>
      <c r="B36" s="15"/>
      <c r="C36" s="19"/>
      <c r="D36" s="343" t="str">
        <f>System10!D41</f>
        <v>zadajte počet:</v>
      </c>
      <c r="E36" s="86"/>
      <c r="F36" s="86"/>
      <c r="G36" s="266"/>
      <c r="H36" s="22"/>
      <c r="I36" s="364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pozicionér do horného vedenia</v>
      </c>
      <c r="B37" s="452">
        <v>298035</v>
      </c>
      <c r="C37" s="23" t="str">
        <f>+VLOOKUP(B37,cennik!A:G,2,FALSE)</f>
        <v>SEVROLL 20326 Fix pozicionér pre horný vozík transparentný</v>
      </c>
      <c r="D37" s="278"/>
      <c r="E37" s="86">
        <f>+VLOOKUP(B37,cennik!A:G,3,FALSE)</f>
        <v>1.0929500000000001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 xml:space="preserve">pozicionér </v>
      </c>
      <c r="B38" s="452">
        <f>IF(F4="Gemini",387424,89063)</f>
        <v>89063</v>
      </c>
      <c r="C38" s="23" t="str">
        <f>+VLOOKUP(B38,cennik!A:G,2,FALSE)</f>
        <v>SEVROLL 20080 pozicionér spodného vozíka HI-TEC</v>
      </c>
      <c r="D38" s="278"/>
      <c r="E38" s="86">
        <f>+VLOOKUP(B38,cennik!A:G,3,FALSE)</f>
        <v>0.31226999999999999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 Tlmič dorazu MINI do 25 kg (pár)</v>
      </c>
      <c r="B39" s="452">
        <v>318662</v>
      </c>
      <c r="C39" s="23" t="str">
        <f>+VLOOKUP(B39,cennik!A:G,2,FALSE)</f>
        <v>SEVROLL 20368-SV tlmič dorazu Mini SV25 (14-25kg)</v>
      </c>
      <c r="D39" s="278"/>
      <c r="E39" s="86">
        <f>+VLOOKUP(B39,cennik!A:G,3,FALSE)</f>
        <v>22.951930000000001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 Tlmič dorazu MINI do 40 kg (pár)</v>
      </c>
      <c r="B40" s="420">
        <v>283956</v>
      </c>
      <c r="C40" s="23" t="str">
        <f>+VLOOKUP(B40,cennik!A:G,2,FALSE)</f>
        <v>SEVROLL 20258-SV tlmič dorazu Mini SV40 (25 - 40kg)</v>
      </c>
      <c r="D40" s="278"/>
      <c r="E40" s="86">
        <f>+VLOOKUP(B40,cennik!A:G,3,FALSE)</f>
        <v>22.951930000000001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 Tlmič dorazu MINI do 60 kg (pár)</v>
      </c>
      <c r="B41" s="420">
        <v>351743</v>
      </c>
      <c r="C41" s="23" t="str">
        <f>+VLOOKUP(B41,cennik!A:G,2,FALSE)</f>
        <v>SEVROLL 20339-SV tlmič dorazu Mini SV60 (40 - 60kg)</v>
      </c>
      <c r="D41" s="278"/>
      <c r="E41" s="86">
        <f>+VLOOKUP(B41,cennik!A:G,3,FALSE)</f>
        <v>22.951930000000001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 Tlmič pre stredné krídlo do 25 kg</v>
      </c>
      <c r="B42" s="420">
        <v>318663</v>
      </c>
      <c r="C42" s="23" t="str">
        <f>+VLOOKUP(B42,cennik!A:G,2,FALSE)</f>
        <v>SEVROLL 20363-SV tlmič Central 10/18mm obojstranný 25kg</v>
      </c>
      <c r="D42" s="278"/>
      <c r="E42" s="86">
        <f>+VLOOKUP(B42,cennik!A:G,3,FALSE)</f>
        <v>49.156689999999998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 Tlmič pre stredné krídlo do 40 kg</v>
      </c>
      <c r="B43" s="420">
        <v>283955</v>
      </c>
      <c r="C43" s="23" t="str">
        <f>+VLOOKUP(B43,cennik!A:G,2,FALSE)</f>
        <v>SEVROLL 20319-SV tlmič Central 10/18mm obojstranný 25-40kg</v>
      </c>
      <c r="D43" s="278"/>
      <c r="E43" s="86">
        <f>+VLOOKUP(B43,cennik!A:G,3,FALSE)</f>
        <v>49.156689999999998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skrutka k spodnémi vedeniu</v>
      </c>
      <c r="B44" s="452">
        <v>98019</v>
      </c>
      <c r="C44" s="23" t="str">
        <f>+VLOOKUP(B44,cennik!A:G,2,FALSE)</f>
        <v>SEVROLL 20041 skrutka 2,5x18mm polguľatá hlava zinok biely</v>
      </c>
      <c r="D44" s="278"/>
      <c r="E44" s="86">
        <f>+VLOOKUP(B44,cennik!A:G,3,FALSE)</f>
        <v>2.9409999999999999E-2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tlmič dorazu (pár) 25 kg</v>
      </c>
      <c r="B45" s="420">
        <v>227185</v>
      </c>
      <c r="C45" s="23" t="str">
        <f>+VLOOKUP(B45,cennik!A:G,2,FALSE)</f>
        <v>K-SEVROLL tlmič dorazu 10/18mm 14-25kg L+P</v>
      </c>
      <c r="D45" s="278"/>
      <c r="E45" s="86">
        <f>+VLOOKUP(B45,cennik!A:G,3,FALSE)</f>
        <v>25.710319999999999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tlmič dorazu (pár) 50 kg</v>
      </c>
      <c r="B46" s="420">
        <v>227187</v>
      </c>
      <c r="C46" s="23" t="str">
        <f>+VLOOKUP(B46,cennik!A:G,2,FALSE)</f>
        <v>K-SEVROLL tlmič dorazu 10/18mm 25-50kg L+P</v>
      </c>
      <c r="D46" s="278"/>
      <c r="E46" s="86">
        <f>+VLOOKUP(B46,cennik!A:G,3,FALSE)</f>
        <v>25.710319999999999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spojovací profil H18-3metre</v>
      </c>
      <c r="B47" s="452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spojovací profil H25-3metre</v>
      </c>
      <c r="B48" s="452" t="str">
        <f>IFERROR(VLOOKUP(P7,data!C891:D893,2,0),"N/A")</f>
        <v>N/A</v>
      </c>
      <c r="C48" s="23" t="str">
        <f>IF(B48=data!D64,texty!A239,+VLOOKUP(B48,cennik!A:G,2,FALSE))</f>
        <v> v tejto farbe a dĺžke sa daný profil nevyrába</v>
      </c>
      <c r="D48" s="278"/>
      <c r="E48" s="368">
        <f>IF(B48=data!D73,0,+VLOOKUP(B48,cennik!A:G,3,FALSE))</f>
        <v>0</v>
      </c>
      <c r="F48" s="368">
        <f>+E48*D48</f>
        <v>0</v>
      </c>
      <c r="G48" s="369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spojovacia skrutka</v>
      </c>
      <c r="B49" s="452">
        <v>89244</v>
      </c>
      <c r="C49" s="23" t="str">
        <f>+VLOOKUP(B49,cennik!A:G,2,FALSE)</f>
        <v>SEVROLL 20001 skrutkovrut 6,3x32 SEVROLL a Simple</v>
      </c>
      <c r="D49" s="354"/>
      <c r="E49" s="86">
        <f>+VLOOKUP(B49,cennik!A:G,3,FALSE)</f>
        <v>0.15614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5"/>
      <c r="B50" s="452"/>
      <c r="C50" s="416"/>
      <c r="D50" s="453"/>
      <c r="E50" s="417"/>
      <c r="F50" s="417"/>
      <c r="G50" s="418"/>
      <c r="H50" s="420"/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5"/>
      <c r="B51" s="452"/>
      <c r="C51" s="416"/>
      <c r="D51" s="453"/>
      <c r="E51" s="417"/>
      <c r="F51" s="417"/>
      <c r="G51" s="418"/>
      <c r="H51" s="420"/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4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4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4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94"/>
      <c r="B55" s="19"/>
      <c r="C55" s="495"/>
      <c r="D55" s="19"/>
      <c r="E55" s="266"/>
      <c r="F55" s="266"/>
      <c r="G55" s="266"/>
      <c r="H55" s="266"/>
      <c r="I55" s="364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93"/>
      <c r="H56" s="22"/>
      <c r="I56" s="364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5"/>
      <c r="B57" s="452"/>
      <c r="C57" s="416"/>
      <c r="D57" s="453"/>
      <c r="E57" s="417"/>
      <c r="F57" s="421"/>
      <c r="G57" s="418"/>
      <c r="H57" s="420"/>
      <c r="I57" s="364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5"/>
      <c r="B58" s="452"/>
      <c r="C58" s="416"/>
      <c r="D58" s="453"/>
      <c r="E58" s="417"/>
      <c r="F58" s="421"/>
      <c r="G58" s="418"/>
      <c r="H58" s="420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64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Technický nákres tohoto systému</v>
      </c>
      <c r="B60" s="484">
        <v>129677</v>
      </c>
      <c r="C60" s="485" t="str">
        <f>VLOOKUP(B60,cennik!A:C,2,0)</f>
        <v>SEVROLL 20173 montážny prípravok pre lamino 10mm malý</v>
      </c>
      <c r="D60" s="355"/>
      <c r="E60" s="86">
        <f>+VLOOKUP(B60,cennik!A:G,3,FALSE)</f>
        <v>5.0214600000000003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84">
        <v>128842</v>
      </c>
      <c r="C61" s="485" t="str">
        <f>VLOOKUP(B61,cennik!A:C,2,0)</f>
        <v>SEVROLL 20144 vrták stupňovitý 6,5/9,5mm</v>
      </c>
      <c r="D61" s="355"/>
      <c r="E61" s="86">
        <f>+VLOOKUP(B61,cennik!A:G,3,FALSE)</f>
        <v>26.752659999999999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CELKOM  (bez DPH)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 xml:space="preserve">strieborná </v>
      </c>
      <c r="M63" s="19" t="s">
        <v>968</v>
      </c>
    </row>
    <row r="64" spans="1:13" ht="12.75" customHeight="1" x14ac:dyDescent="0.25">
      <c r="A64" s="337" t="str">
        <f>System10!A67</f>
        <v>Vaša poznámka: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oliva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niektoré položky sa vo vybranej dĺžke nevyrábajú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CQM2cO7Bg9f0LaOus+zUZiwJSCNd+aim9XlbQrF2jYHIgs+8zst+5PtcAauPg5jYWPbzp4aJpFW684VWt56vIA==" saltValue="50lVoe4fJvszQAEdCCsD6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8" priority="2">
      <formula>SUM($D$42:$D$43)&gt;0</formula>
    </cfRule>
  </conditionalFormatting>
  <conditionalFormatting sqref="D6">
    <cfRule type="expression" dxfId="126" priority="6">
      <formula>$D$4=4</formula>
    </cfRule>
    <cfRule type="expression" dxfId="125" priority="7">
      <formula>$D$4&lt;&gt;4</formula>
    </cfRule>
  </conditionalFormatting>
  <conditionalFormatting sqref="D49">
    <cfRule type="expression" dxfId="124" priority="8" stopIfTrue="1">
      <formula>IF($D$48&gt;0,IF($D$49=0,1,0),0)</formula>
    </cfRule>
  </conditionalFormatting>
  <conditionalFormatting sqref="G4">
    <cfRule type="expression" dxfId="123" priority="5">
      <formula>$D$4=4</formula>
    </cfRule>
  </conditionalFormatting>
  <conditionalFormatting sqref="I20">
    <cfRule type="expression" dxfId="122" priority="405">
      <formula>$F$4=$M$64</formula>
    </cfRule>
  </conditionalFormatting>
  <conditionalFormatting sqref="I22">
    <cfRule type="expression" dxfId="121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7" t="s">
        <v>707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696" t="str">
        <f>texty!A45</f>
        <v>vypíšte týchto 5 políčok !!! Údaje v mm</v>
      </c>
      <c r="C5" s="696"/>
      <c r="D5" s="696"/>
      <c r="E5" s="696"/>
      <c r="F5" s="696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96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63" t="str">
        <f>IFERROR((B8-4),"")</f>
        <v/>
      </c>
      <c r="C10" s="597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9" t="str">
        <f>IF(B7&gt;2400,texty!A194,IF(C7&gt;700,texty!A194,""))</f>
        <v>Max. veľkosť krídla so zrkadlom je 2400x700mm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6" t="str">
        <f>texty!A78</f>
        <v>dodatočné odpočty výšky vypočítaných výplní pri použití deliacich profilov výplne: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6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8" t="s">
        <v>992</v>
      </c>
      <c r="B23" s="397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partnerská zľava: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Objednávacie kódy, ceny:</v>
      </c>
      <c r="B25" s="7"/>
      <c r="C25" s="7"/>
      <c r="D25" s="7"/>
      <c r="E25" s="7"/>
      <c r="F25" s="5"/>
      <c r="G25" s="592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kód</v>
      </c>
      <c r="C26" s="76" t="str">
        <f>+System10!C27</f>
        <v>názov</v>
      </c>
      <c r="D26" s="76" t="str">
        <f>+System10!D27</f>
        <v>ks</v>
      </c>
      <c r="E26" s="76" t="str">
        <f>+System10!E27</f>
        <v>cena/ks</v>
      </c>
      <c r="F26" s="16" t="str">
        <f>+System10!F27</f>
        <v>cena celkom</v>
      </c>
      <c r="G26" s="16" t="str">
        <f>+System10!G27</f>
        <v>celkom netto:</v>
      </c>
      <c r="H26" s="16"/>
      <c r="I26" s="16" t="str">
        <f>texty!A29</f>
        <v>Poznámka:</v>
      </c>
      <c r="K26" s="16"/>
      <c r="L26" s="16"/>
    </row>
    <row r="27" spans="1:12" ht="12.75" customHeight="1" x14ac:dyDescent="0.25">
      <c r="A27" s="6" t="str">
        <f>texty!A106</f>
        <v>horný profil: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spodný profil: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krycí profil (maska):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horný vozík</v>
      </c>
      <c r="B30" s="15">
        <v>228023</v>
      </c>
      <c r="C30" s="23" t="str">
        <f>+VLOOKUP(B30,cennik!A3:G984,2,FALSE)</f>
        <v>SEVROLL 10196 Focus horný vozík 18mm 2ks</v>
      </c>
      <c r="D30" s="15">
        <f>IF((D43+D44)&gt;D4,0,D4-(D43+D44))</f>
        <v>0</v>
      </c>
      <c r="E30" s="86">
        <f>+VLOOKUP(B30,cennik!A:G,3,FALSE)</f>
        <v>3.9346299999999998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spodný vozík</v>
      </c>
      <c r="B31" s="15">
        <f>IF(F4=M66,362316,229440)</f>
        <v>229440</v>
      </c>
      <c r="C31" s="23" t="str">
        <f>+VLOOKUP(B31,cennik!A:G,2,FALSE)</f>
        <v>SEVROLL 10198 spodný vozík WD 18C HI-TEC - 2ks</v>
      </c>
      <c r="D31" s="15">
        <f>+D4</f>
        <v>0</v>
      </c>
      <c r="E31" s="86">
        <f>+VLOOKUP(B31,cennik!A:G,3,FALSE)</f>
        <v>5.2305400000000004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dorazový kartáč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úchytková lišta</v>
      </c>
      <c r="B33" s="15" t="e">
        <f>+VLOOKUP(P7,data!C568:D576,2,0)</f>
        <v>#N/A</v>
      </c>
      <c r="C33" s="480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4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Voliteľné príslušenstvo:</v>
      </c>
      <c r="B35" s="319"/>
      <c r="C35" s="116"/>
      <c r="D35" s="371" t="str">
        <f>System10!D41</f>
        <v>zadajte počet:</v>
      </c>
      <c r="E35" s="124"/>
      <c r="F35" s="117"/>
      <c r="G35" s="118"/>
      <c r="H35" s="119"/>
      <c r="I35" s="364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pozicionér do horného vedenia</v>
      </c>
      <c r="B36" s="66">
        <v>298035</v>
      </c>
      <c r="C36" s="480" t="str">
        <f>+VLOOKUP(B36,cennik!A:G,2,FALSE)</f>
        <v>SEVROLL 20326 Fix pozicionér pre horný vozík transparentný</v>
      </c>
      <c r="D36" s="27"/>
      <c r="E36" s="193">
        <f>+VLOOKUP(B36,cennik!A:G,3,FALSE)</f>
        <v>1.0929500000000001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pozicionér </v>
      </c>
      <c r="B37" s="15">
        <f>IF(F4="Gemini",387424,89063)</f>
        <v>89063</v>
      </c>
      <c r="C37" s="480" t="str">
        <f>+VLOOKUP(B37,cennik!A:G,2,FALSE)</f>
        <v>SEVROLL 20080 pozicionér spodného vozíka HI-TEC</v>
      </c>
      <c r="D37" s="27"/>
      <c r="E37" s="193">
        <f>+VLOOKUP(B37,cennik!A:G,3,FALSE)</f>
        <v>0.31226999999999999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 Tlmič dorazu MINI do 25 kg (pár)</v>
      </c>
      <c r="B38" s="15">
        <v>318662</v>
      </c>
      <c r="C38" s="23" t="str">
        <f>+VLOOKUP(B38,cennik!A:G,2,FALSE)</f>
        <v>SEVROLL 20368-SV tlmič dorazu Mini SV25 (14-25kg)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 Tlmič dorazu MINI do 40 kg (pár)</v>
      </c>
      <c r="B39" s="22">
        <v>283956</v>
      </c>
      <c r="C39" s="23" t="str">
        <f>+VLOOKUP(B39,cennik!A:G,2,FALSE)</f>
        <v>SEVROLL 20258-SV tlmič dorazu Mini SV40 (25 - 40kg)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 Tlmič dorazu MINI do 60 kg (pár)</v>
      </c>
      <c r="B40" s="22">
        <v>351743</v>
      </c>
      <c r="C40" s="23" t="str">
        <f>+VLOOKUP(B40,cennik!A:G,2,FALSE)</f>
        <v>SEVROLL 20339-SV tlmič dorazu Mini SV60 (40 - 60kg)</v>
      </c>
      <c r="D40" s="278"/>
      <c r="E40" s="86">
        <f>+VLOOKUP(B40,cennik!A:G,3,FALSE)</f>
        <v>22.951930000000001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 Tlmič pre stredné krídlo do 25 kg</v>
      </c>
      <c r="B41" s="22">
        <v>318663</v>
      </c>
      <c r="C41" s="23" t="str">
        <f>+VLOOKUP(B41,cennik!A:G,2,FALSE)</f>
        <v>SEVROLL 20363-SV tlmič Central 10/18mm obojstranný 25kg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 Tlmič pre stredné krídlo do 40 kg</v>
      </c>
      <c r="B42" s="22">
        <v>283955</v>
      </c>
      <c r="C42" s="23" t="str">
        <f>+VLOOKUP(B42,cennik!A:G,2,FALSE)</f>
        <v>SEVROLL 20319-SV tlmič Central 10/18mm obojstranný 25-40kg</v>
      </c>
      <c r="D42" s="278"/>
      <c r="E42" s="86">
        <f>+VLOOKUP(B42,cennik!A:G,3,FALSE)</f>
        <v>49.156689999999998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tlmič dorazu (pár) 25 kg</v>
      </c>
      <c r="B43" s="22">
        <v>227185</v>
      </c>
      <c r="C43" s="480" t="str">
        <f>+VLOOKUP(B43,cennik!A:G,2,FALSE)</f>
        <v>K-SEVROLL tlmič dorazu 10/18mm 14-25kg L+P</v>
      </c>
      <c r="D43" s="27"/>
      <c r="E43" s="193">
        <f>+VLOOKUP(B43,cennik!A:G,3,FALSE)</f>
        <v>25.710319999999999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tlmič dorazu (pár) 50 kg</v>
      </c>
      <c r="B44" s="22">
        <v>227187</v>
      </c>
      <c r="C44" s="480" t="str">
        <f>+VLOOKUP(B44,cennik!A:G,2,FALSE)</f>
        <v>K-SEVROLL tlmič dorazu 10/18mm 25-50kg L+P</v>
      </c>
      <c r="D44" s="27"/>
      <c r="E44" s="193">
        <f>+VLOOKUP(B44,cennik!A:G,3,FALSE)</f>
        <v>25.710319999999999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Spona dorazovej kefky</v>
      </c>
      <c r="B45" s="15">
        <v>223569</v>
      </c>
      <c r="C45" s="480" t="str">
        <f>+VLOOKUP(B45,cennik!A:G,2,FALSE)</f>
        <v>SEVROLL 20223 spona dorazovej kefky</v>
      </c>
      <c r="D45" s="27"/>
      <c r="E45" s="193">
        <f>+VLOOKUP(B45,cennik!A:G,3,FALSE)</f>
        <v>7.8070000000000001E-2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spojovací profil H18-3metre</v>
      </c>
      <c r="B46" s="15" t="e">
        <f>+VLOOKUP(P7,data!C577:D588,2,0)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spojovací T profil - 3metre /s drážkou/</v>
      </c>
      <c r="B47" s="15" t="str">
        <f>IFERROR(VLOOKUP(P7,data!C589:D598,2,0),"N/A")</f>
        <v>N/A</v>
      </c>
      <c r="C47" s="480" t="str">
        <f>IF(B47=data!D64,texty!A239,+VLOOKUP(B47,cennik!A:G,2,FALSE))</f>
        <v> v tejto farbe a dĺžke sa daný profil nevyrába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spojovací T profil - 3metre /s lemom/</v>
      </c>
      <c r="B48" s="15" t="str">
        <f>IFERROR(VLOOKUP(P7,data!C599:D608,2,0),"N/A")</f>
        <v>N/A</v>
      </c>
      <c r="C48" s="480" t="str">
        <f>IF(B48=data!D64,texty!A239,+VLOOKUP(B48,cennik!A:G,2,FALSE))</f>
        <v> v tejto farbe a dĺžke sa daný profil nevyrába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 na DTD 18mm - 3 metre /hladký/</v>
      </c>
      <c r="B49" s="15" t="e">
        <f>+VLOOKUP(P7,data!C609:D619,2,0)</f>
        <v>#N/A</v>
      </c>
      <c r="C49" s="480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 na DTD 18mm - 3 metre /lem/</v>
      </c>
      <c r="B50" s="15" t="str">
        <f>IFERROR(VLOOKUP(P7,data!C620:D629,2,0),"N/A")</f>
        <v>N/A</v>
      </c>
      <c r="C50" s="480" t="str">
        <f>IF(B50=data!D64,texty!A239,+VLOOKUP(B50,cennik!A:G,2,FALSE))</f>
        <v> v tejto farbe a dĺžke sa daný profil nevyrába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uholník mini 11x17mm - 1,7m</v>
      </c>
      <c r="B51" s="5" t="e">
        <f>+VLOOKUP(P7,data!C630:D641,2,0)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uholník mini 11x17mm - 2,35m</v>
      </c>
      <c r="B52" s="5" t="e">
        <f>+VLOOKUP(P7,data!C642:D653,2,0)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uholník mini 11x17mm - 3m</v>
      </c>
      <c r="B53" s="7" t="e">
        <f>+VLOOKUP(P7,data!C654:D665,2,0)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uholník K2 19x18mm - 1,7m</v>
      </c>
      <c r="B54" s="22" t="str">
        <f>IFERROR(VLOOKUP(P7,data!C666:D675,2,0),"N/A")</f>
        <v>N/A</v>
      </c>
      <c r="C54" s="480" t="str">
        <f>IF(B54=data!D64,texty!A239,+VLOOKUP(B54,cennik!A:G,2,FALSE))</f>
        <v> v tejto farbe a dĺžke sa daný profil nevyrába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uholník K2 19x18mm - 2,35m</v>
      </c>
      <c r="B55" s="15" t="str">
        <f>IFERROR(VLOOKUP(P7,data!C676:D685,2,0),"N/A")</f>
        <v>N/A</v>
      </c>
      <c r="C55" s="480" t="str">
        <f>IF(B55=data!D64,texty!A239,+VLOOKUP(B55,cennik!A:G,2,FALSE))</f>
        <v> v tejto farbe a dĺžke sa daný profil nevyrába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uholník K2 19x18mm - 3,00m</v>
      </c>
      <c r="B56" s="15" t="str">
        <f>IFERROR(VLOOKUP(P7,data!C686:D695,2,0),"N/A")</f>
        <v>N/A</v>
      </c>
      <c r="C56" s="480" t="str">
        <f>IF(B56=data!D64,texty!A239,+VLOOKUP(B56,cennik!A:G,2,FALSE))</f>
        <v> v tejto farbe a dĺžke sa daný profil nevyrába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klínok pre dilatáciu výplne 16mm</v>
      </c>
      <c r="B57" s="15">
        <v>308631</v>
      </c>
      <c r="C57" s="480" t="str">
        <f>+VLOOKUP(B57,cennik!A:G,2,FALSE)</f>
        <v>SEVROLL 20252 klin pre lamino hrúbka 2mm (100 ks)</v>
      </c>
      <c r="D57" s="27"/>
      <c r="E57" s="193">
        <f>+VLOOKUP(B57,cennik!A:G,3,FALSE)</f>
        <v>8.7956400000000006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zámok posuvných dverí</v>
      </c>
      <c r="B58" s="22">
        <v>216363</v>
      </c>
      <c r="C58" s="480" t="str">
        <f>+VLOOKUP(B58,cennik!A:G,2,FALSE)</f>
        <v>SEVROLL 20356 zámok na posuvné dvere 10/18mm</v>
      </c>
      <c r="D58" s="27"/>
      <c r="E58" s="193">
        <f>+VLOOKUP(B58,cennik!A:G,3,FALSE)</f>
        <v>15.855560000000001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protiprachový kartáč samolepiaci</v>
      </c>
      <c r="B59" s="22">
        <v>308639</v>
      </c>
      <c r="C59" s="23" t="str">
        <f>+VLOOKUP(B59,cennik!A:G,2,FALSE)</f>
        <v>SEVROLL protiprachový kartáč samolep. 6,7x13mm</v>
      </c>
      <c r="D59" s="27"/>
      <c r="E59" s="193">
        <f>+VLOOKUP(B59,cennik!A:G,3,FALSE)</f>
        <v>0.34048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4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Technický nákres tohoto systému</v>
      </c>
      <c r="C62" s="68"/>
      <c r="D62" s="44" t="str">
        <f>texty!A15</f>
        <v>CELKOM  (bez DPH)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niektoré položky sa vo vybranej dĺžke nevyrábajú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customHeight="1" x14ac:dyDescent="0.25">
      <c r="K66" s="5">
        <v>64</v>
      </c>
      <c r="L66" s="4" t="str">
        <f>texty!A128</f>
        <v xml:space="preserve">strieborná </v>
      </c>
      <c r="M66" s="19" t="s">
        <v>968</v>
      </c>
    </row>
    <row r="67" spans="1:14" ht="12.75" hidden="1" customHeight="1" x14ac:dyDescent="0.25">
      <c r="L67" s="4" t="str">
        <f>texty!A129</f>
        <v>zlatá</v>
      </c>
      <c r="M67" s="19" t="s">
        <v>42</v>
      </c>
    </row>
    <row r="68" spans="1:14" ht="12.75" hidden="1" customHeight="1" x14ac:dyDescent="0.25">
      <c r="L68" s="4" t="str">
        <f>texty!A130</f>
        <v>oliva</v>
      </c>
    </row>
    <row r="69" spans="1:14" ht="12.75" hidden="1" customHeight="1" x14ac:dyDescent="0.25">
      <c r="L69" s="4" t="str">
        <f>data!J15</f>
        <v>biela lesk</v>
      </c>
    </row>
    <row r="70" spans="1:14" ht="12.75" hidden="1" customHeight="1" x14ac:dyDescent="0.25">
      <c r="L70" s="4" t="str">
        <f>data!J18</f>
        <v>biela mat</v>
      </c>
    </row>
    <row r="71" spans="1:14" ht="12.75" hidden="1" customHeight="1" x14ac:dyDescent="0.25">
      <c r="L71" s="4" t="str">
        <f>data!J16</f>
        <v>čierna lesk</v>
      </c>
    </row>
    <row r="72" spans="1:14" ht="12.75" hidden="1" customHeight="1" x14ac:dyDescent="0.25">
      <c r="L72" s="4" t="str">
        <f>data!J17</f>
        <v>čierna mat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čierna štrukturálna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23I4itqh/wk0rL13XlwZh/TmnCng52VPPBgEIKKcrZkIqO4HaHUsG8+0q5pbYIfYdQr6+MfEMLDMNLSCtLm20g==" saltValue="fc5+PZggBbKeKFWfMzKlEg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20" priority="3">
      <formula>SUM($D$41:$D$42)&gt;0</formula>
    </cfRule>
  </conditionalFormatting>
  <conditionalFormatting sqref="D6">
    <cfRule type="expression" dxfId="118" priority="7">
      <formula>$D$4=4</formula>
    </cfRule>
    <cfRule type="expression" dxfId="117" priority="8">
      <formula>$D$4&lt;&gt;4</formula>
    </cfRule>
  </conditionalFormatting>
  <conditionalFormatting sqref="G4">
    <cfRule type="expression" dxfId="116" priority="6">
      <formula>$D$4=4</formula>
    </cfRule>
  </conditionalFormatting>
  <conditionalFormatting sqref="I18:I19">
    <cfRule type="expression" dxfId="115" priority="33">
      <formula>$F$4=$M$67</formula>
    </cfRule>
  </conditionalFormatting>
  <conditionalFormatting sqref="I20:I21">
    <cfRule type="expression" dxfId="114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7" t="s">
        <v>730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5.5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701"/>
      <c r="H4" s="701"/>
      <c r="I4" s="701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7"/>
      <c r="G5" s="701"/>
      <c r="H5" s="701"/>
      <c r="I5" s="701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5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partnerská zľava:</v>
      </c>
      <c r="H23" s="5"/>
      <c r="L23" s="5"/>
    </row>
    <row r="24" spans="1:12" ht="12.75" customHeight="1" x14ac:dyDescent="0.25">
      <c r="A24" s="123" t="str">
        <f>texty!A80</f>
        <v>Objednávacie kódy, ceny:</v>
      </c>
      <c r="B24" s="7"/>
      <c r="C24" s="7"/>
      <c r="D24" s="7"/>
      <c r="E24" s="7"/>
      <c r="F24" s="5"/>
      <c r="G24" s="592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kód</v>
      </c>
      <c r="C25" s="76" t="str">
        <f>+System10!C27</f>
        <v>názov</v>
      </c>
      <c r="D25" s="76" t="str">
        <f>+System10!D27</f>
        <v>ks</v>
      </c>
      <c r="E25" s="76" t="str">
        <f>+System10!E27</f>
        <v>cena/ks</v>
      </c>
      <c r="F25" s="16" t="str">
        <f>+System10!F27</f>
        <v>cena celkom</v>
      </c>
      <c r="G25" s="16" t="str">
        <f>+System10!G27</f>
        <v>celkom netto:</v>
      </c>
      <c r="H25" s="16"/>
      <c r="I25" s="16" t="str">
        <f>texty!A29</f>
        <v>Poznámka:</v>
      </c>
      <c r="K25" s="16"/>
      <c r="L25" s="16"/>
    </row>
    <row r="26" spans="1:12" ht="12.75" customHeight="1" x14ac:dyDescent="0.25">
      <c r="A26" s="6" t="str">
        <f>texty!A106</f>
        <v>horný profil: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spodný profil: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krycí profil (maska):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4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horný vozík</v>
      </c>
      <c r="B29" s="15">
        <v>228023</v>
      </c>
      <c r="C29" s="34" t="str">
        <f>+VLOOKUP(B29,cennik!A:G,2,FALSE)</f>
        <v>SEVROLL 10196 Focus horný vozík 18mm 2ks</v>
      </c>
      <c r="D29" s="15">
        <f>IF((D42+D43)&gt;D4,0,D4-(D42+D43))</f>
        <v>0</v>
      </c>
      <c r="E29" s="193">
        <f>+VLOOKUP(B29,cennik!A:G,3,FALSE)</f>
        <v>3.9346299999999998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spodný vozík</v>
      </c>
      <c r="B30" s="15">
        <f>IF(F4=M65,362316,229440)</f>
        <v>229440</v>
      </c>
      <c r="C30" s="23" t="str">
        <f>+VLOOKUP(B30,cennik!A:G,2,FALSE)</f>
        <v>SEVROLL 10198 spodný vozík WD 18C HI-TEC - 2ks</v>
      </c>
      <c r="D30" s="15">
        <f>+D4</f>
        <v>0</v>
      </c>
      <c r="E30" s="193">
        <f>+VLOOKUP(B30,cennik!A:G,3,FALSE)</f>
        <v>5.2305400000000004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dorazový kartáč</v>
      </c>
      <c r="B31" s="15" t="e">
        <f>+VLOOKUP(L48,data!C839:D859,2,0)</f>
        <v>#N/A</v>
      </c>
      <c r="C31" s="480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úchytková lišta</v>
      </c>
      <c r="B32" s="15" t="e">
        <f>+VLOOKUP(P7,data!C808:D812,2,0)</f>
        <v>#N/A</v>
      </c>
      <c r="C32" s="480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4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Voliteľné príslušenstvo:</v>
      </c>
      <c r="B34" s="319"/>
      <c r="C34" s="116"/>
      <c r="D34" s="371" t="str">
        <f>System10!D41</f>
        <v>zadajte počet:</v>
      </c>
      <c r="E34" s="124"/>
      <c r="F34" s="117"/>
      <c r="G34" s="118"/>
      <c r="H34" s="119"/>
      <c r="I34" s="364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pozicionér do horného vedenia</v>
      </c>
      <c r="B35" s="66">
        <v>298035</v>
      </c>
      <c r="C35" s="34" t="str">
        <f>+VLOOKUP(B35,cennik!A:G,2,FALSE)</f>
        <v>SEVROLL 20326 Fix pozicionér pre horný vozík transparentný</v>
      </c>
      <c r="D35" s="27"/>
      <c r="E35" s="193">
        <f>+VLOOKUP(B35,cennik!A:G,3,FALSE)</f>
        <v>1.0929500000000001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pozicionér </v>
      </c>
      <c r="B36" s="15">
        <f>IF(F4="Gemini",387424,89063)</f>
        <v>89063</v>
      </c>
      <c r="C36" s="34" t="str">
        <f>+VLOOKUP(B36,cennik!A:G,2,FALSE)</f>
        <v>SEVROLL 20080 pozicionér spodného vozíka HI-TEC</v>
      </c>
      <c r="D36" s="27"/>
      <c r="E36" s="193">
        <f>+VLOOKUP(B36,cennik!A:G,3,FALSE)</f>
        <v>0.31226999999999999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 Tlmič dorazu MINI do 25 kg (pár)</v>
      </c>
      <c r="B37" s="15">
        <v>318662</v>
      </c>
      <c r="C37" s="23" t="str">
        <f>+VLOOKUP(B37,cennik!A:G,2,FALSE)</f>
        <v>SEVROLL 20368-SV tlmič dorazu Mini SV25 (14-25kg)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 Tlmič dorazu MINI do 40 kg (pár)</v>
      </c>
      <c r="B38" s="22">
        <v>283956</v>
      </c>
      <c r="C38" s="23" t="str">
        <f>+VLOOKUP(B38,cennik!A:G,2,FALSE)</f>
        <v>SEVROLL 20258-SV tlmič dorazu Mini SV40 (25 - 40kg)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 Tlmič dorazu MINI do 60 kg (pár)</v>
      </c>
      <c r="B39" s="22">
        <v>351743</v>
      </c>
      <c r="C39" s="23" t="str">
        <f>+VLOOKUP(B39,cennik!A:G,2,FALSE)</f>
        <v>SEVROLL 20339-SV tlmič dorazu Mini SV60 (40 - 60kg)</v>
      </c>
      <c r="D39" s="278"/>
      <c r="E39" s="86">
        <f>+VLOOKUP(B39,cennik!A:G,3,FALSE)</f>
        <v>22.951930000000001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 Tlmič pre stredné krídlo do 25 kg</v>
      </c>
      <c r="B40" s="22">
        <v>318663</v>
      </c>
      <c r="C40" s="23" t="str">
        <f>+VLOOKUP(B40,cennik!A:G,2,FALSE)</f>
        <v>SEVROLL 20363-SV tlmič Central 10/18mm obojstranný 25kg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 Tlmič pre stredné krídlo do 40 kg</v>
      </c>
      <c r="B41" s="22">
        <v>283955</v>
      </c>
      <c r="C41" s="23" t="str">
        <f>+VLOOKUP(B41,cennik!A:G,2,FALSE)</f>
        <v>SEVROLL 20319-SV tlmič Central 10/18mm obojstranný 25-40kg</v>
      </c>
      <c r="D41" s="278"/>
      <c r="E41" s="86">
        <f>+VLOOKUP(B41,cennik!A:G,3,FALSE)</f>
        <v>49.156689999999998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tlmič dorazu (pár) 25 kg</v>
      </c>
      <c r="B42" s="22">
        <v>227185</v>
      </c>
      <c r="C42" s="34" t="str">
        <f>+VLOOKUP(B42,cennik!A:G,2,FALSE)</f>
        <v>K-SEVROLL tlmič dorazu 10/18mm 14-25kg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tlmič dorazu (pár) 50 kg</v>
      </c>
      <c r="B43" s="22">
        <v>227187</v>
      </c>
      <c r="C43" s="34" t="str">
        <f>+VLOOKUP(B43,cennik!A:G,2,FALSE)</f>
        <v>K-SEVROLL tlmič dorazu 10/18mm 25-50kg L+P</v>
      </c>
      <c r="D43" s="27"/>
      <c r="E43" s="193">
        <f>+VLOOKUP(B43,cennik!A:G,3,FALSE)</f>
        <v>25.710319999999999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Spona dorazovej kefky</v>
      </c>
      <c r="B44" s="15">
        <v>223569</v>
      </c>
      <c r="C44" s="34" t="str">
        <f>+VLOOKUP(B44,cennik!A:G,2,FALSE)</f>
        <v>SEVROLL 20223 spona dorazovej kefky</v>
      </c>
      <c r="D44" s="27"/>
      <c r="E44" s="193">
        <f>+VLOOKUP(B44,cennik!A:G,3,FALSE)</f>
        <v>7.8070000000000001E-2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spojovací profil H18-3metre</v>
      </c>
      <c r="B45" s="15" t="e">
        <f>+VLOOKUP(P7,data!C577:D587,2,0)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spojovací T profil - 3metre /s drážkou/</v>
      </c>
      <c r="B46" s="15" t="e">
        <f>+VLOOKUP(P7,data!C589:D598,2,0)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spojovací T profil - 3metre /s lemom/</v>
      </c>
      <c r="B47" s="15" t="e">
        <f>+VLOOKUP(P7,data!C599:D608,2,0)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 na DTD 18mm - 3 metre /hladký/</v>
      </c>
      <c r="B48" s="5" t="e">
        <f>+VLOOKUP(P7,data!C609:D619,2,0)</f>
        <v>#N/A</v>
      </c>
      <c r="C48" s="480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 na DTD 18mm - 3 metre /lem/</v>
      </c>
      <c r="B49" s="15" t="e">
        <f>+VLOOKUP(P7,data!C619:D629,2,0)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uholník mini 11x17mm - 1,7m</v>
      </c>
      <c r="B50" s="5" t="e">
        <f>+VLOOKUP(P7,data!C630:D640,2,0)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uholník mini 11x17mm - 2,35m</v>
      </c>
      <c r="B51" s="5" t="e">
        <f>+VLOOKUP(P7,data!C642:D652,2,0)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uholník mini 11x17mm - 3m</v>
      </c>
      <c r="B52" s="7" t="e">
        <f>+VLOOKUP(P7,data!C654:D664,2,0)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uholník K2 19x18mm - 1,7m</v>
      </c>
      <c r="B53" s="22" t="e">
        <f>+VLOOKUP(P7,data!C666:D675,2,0)</f>
        <v>#N/A</v>
      </c>
      <c r="C53" s="480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uholník K2 19x18mm - 2,35m</v>
      </c>
      <c r="B54" s="15" t="e">
        <f>+VLOOKUP(P7,data!C676:D685,2,0)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uholník K2 19x18mm - 3,00m</v>
      </c>
      <c r="B55" s="15" t="e">
        <f>+VLOOKUP(P7,data!C686:D695,2,0)</f>
        <v>#N/A</v>
      </c>
      <c r="C55" s="480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klínok pre dilatáciu výplne 16mm</v>
      </c>
      <c r="B56" s="15">
        <v>308631</v>
      </c>
      <c r="C56" s="34" t="str">
        <f>+VLOOKUP(B56,cennik!A:G,2,FALSE)</f>
        <v>SEVROLL 20252 klin pre lamino hrúbka 2mm (100 ks)</v>
      </c>
      <c r="D56" s="27"/>
      <c r="E56" s="193">
        <f>+VLOOKUP(B56,cennik!A:G,3,FALSE)</f>
        <v>8.7956400000000006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zámok posuvných dverí</v>
      </c>
      <c r="B57" s="22">
        <v>216363</v>
      </c>
      <c r="C57" s="34" t="str">
        <f>+VLOOKUP(B57,cennik!A:G,2,FALSE)</f>
        <v>SEVROLL 20356 zámok na posuvné dvere 10/18mm</v>
      </c>
      <c r="D57" s="27"/>
      <c r="E57" s="193">
        <f>+VLOOKUP(B57,cennik!A:G,3,FALSE)</f>
        <v>15.855560000000001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protiprachový kartáč samolepiaci</v>
      </c>
      <c r="B58" s="22">
        <v>308639</v>
      </c>
      <c r="C58" s="23" t="str">
        <f>+VLOOKUP(B58,cennik!A:G,2,FALSE)</f>
        <v>SEVROLL protiprachový kartáč samolep. 6,7x13mm</v>
      </c>
      <c r="D58" s="27"/>
      <c r="E58" s="193">
        <f>+VLOOKUP(B58,cennik!A:G,3,FALSE)</f>
        <v>0.34048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4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Ďalšie príslušenstvo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Technický nákres tohoto systému</v>
      </c>
      <c r="C61" s="68"/>
      <c r="D61" s="44" t="str">
        <f>texty!A15</f>
        <v>CELKOM  (bez DPH)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Vaša poznámka: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 xml:space="preserve">strieborná </v>
      </c>
      <c r="M65" s="19" t="s">
        <v>968</v>
      </c>
    </row>
    <row r="66" spans="11:13" ht="12.75" hidden="1" customHeight="1" x14ac:dyDescent="0.25">
      <c r="L66" s="4" t="str">
        <f>texty!A130</f>
        <v>oliva</v>
      </c>
      <c r="M66" s="19" t="s">
        <v>42</v>
      </c>
    </row>
    <row r="67" spans="11:13" ht="12.75" hidden="1" customHeight="1" x14ac:dyDescent="0.25">
      <c r="L67" s="4" t="str">
        <f>data!J15</f>
        <v>biela lesk</v>
      </c>
    </row>
    <row r="68" spans="11:13" ht="12.75" hidden="1" customHeight="1" x14ac:dyDescent="0.25">
      <c r="L68" s="4" t="str">
        <f>data!J18</f>
        <v>biela mat</v>
      </c>
    </row>
    <row r="69" spans="11:13" ht="12.75" hidden="1" customHeight="1" x14ac:dyDescent="0.25">
      <c r="L69" s="4" t="str">
        <f>data!J17</f>
        <v>čierna mat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13" priority="3">
      <formula>SUM($D$40:$D$41)&gt;0</formula>
    </cfRule>
  </conditionalFormatting>
  <conditionalFormatting sqref="D6">
    <cfRule type="expression" dxfId="111" priority="7">
      <formula>$D$4=4</formula>
    </cfRule>
    <cfRule type="expression" dxfId="110" priority="8">
      <formula>$D$4&lt;&gt;4</formula>
    </cfRule>
  </conditionalFormatting>
  <conditionalFormatting sqref="G4">
    <cfRule type="expression" dxfId="109" priority="6">
      <formula>$D$4=4</formula>
    </cfRule>
  </conditionalFormatting>
  <conditionalFormatting sqref="I17:I18">
    <cfRule type="expression" dxfId="108" priority="5">
      <formula>$F$4=$M$66</formula>
    </cfRule>
  </conditionalFormatting>
  <conditionalFormatting sqref="I19:I20">
    <cfRule type="expression" dxfId="107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topLeftCell="A16" zoomScaleNormal="100" workbookViewId="0">
      <selection activeCell="C45" sqref="C45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6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s="121" customFormat="1" ht="12.75" customHeight="1" x14ac:dyDescent="0.25">
      <c r="A23" s="123" t="str">
        <f>texty!A80</f>
        <v>Objednávacie kódy, ceny:</v>
      </c>
      <c r="B23" s="25"/>
      <c r="C23" s="25"/>
      <c r="D23" s="25"/>
      <c r="E23" s="25"/>
      <c r="F23" s="35"/>
      <c r="G23" s="593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kód</v>
      </c>
      <c r="C24" s="76"/>
      <c r="D24" s="76" t="str">
        <f>Faworyt!D25</f>
        <v>ks</v>
      </c>
      <c r="E24" s="76" t="str">
        <f>Faworyt!E25</f>
        <v>cena/ks</v>
      </c>
      <c r="F24" s="16" t="str">
        <f>Faworyt!F25</f>
        <v>cena celkom</v>
      </c>
      <c r="G24" s="16" t="str">
        <f>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krycí profil (maska):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80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5">
        <v>229433</v>
      </c>
      <c r="C30" s="480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+VLOOKUP(P7,data!C701:D702,2,0)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319"/>
      <c r="C33" s="116"/>
      <c r="D33" s="371" t="str">
        <f>+Faworyt!D34</f>
        <v>zadajte počet:</v>
      </c>
      <c r="E33" s="124"/>
      <c r="F33" s="117"/>
      <c r="G33" s="118"/>
      <c r="H33" s="119"/>
      <c r="I33" s="364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pozicionér do horného vedenia</v>
      </c>
      <c r="B34" s="66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pozicionér </v>
      </c>
      <c r="B35" s="15">
        <f>IF(F4="Gemini",387424,89063)</f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5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15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 Tlmič dorazu MINI do 60 kg (pár)</v>
      </c>
      <c r="B38" s="15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 Tlmič pre stredné krídlo do 25 kg</v>
      </c>
      <c r="B39" s="15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15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15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15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5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5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spojovací T profil - 3metre /s drážkou/</v>
      </c>
      <c r="B45" s="15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spojovací T profil - 3metre /s lemom/</v>
      </c>
      <c r="B46" s="15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7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 na DTD 18mm - 3 metre /lem/</v>
      </c>
      <c r="B48" s="15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7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7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15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15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5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5">
        <v>308631</v>
      </c>
      <c r="C55" s="480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zámok posuvných dverí</v>
      </c>
      <c r="B56" s="15">
        <v>216363</v>
      </c>
      <c r="C56" s="480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15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2" t="str">
        <f>+Faworyt!D61</f>
        <v>CELKOM  (bez DPH)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Vaša poznámka: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 xml:space="preserve">strieborná 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oliva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6" priority="3">
      <formula>SUM($D$39:$D$40)&gt;0</formula>
    </cfRule>
  </conditionalFormatting>
  <conditionalFormatting sqref="D6">
    <cfRule type="expression" dxfId="104" priority="9">
      <formula>$D$4=4</formula>
    </cfRule>
    <cfRule type="expression" dxfId="103" priority="10">
      <formula>$D$4&lt;&gt;4</formula>
    </cfRule>
  </conditionalFormatting>
  <conditionalFormatting sqref="G4">
    <cfRule type="expression" dxfId="102" priority="8">
      <formula>$D$4=4</formula>
    </cfRule>
  </conditionalFormatting>
  <conditionalFormatting sqref="I16:I17">
    <cfRule type="expression" dxfId="101" priority="4">
      <formula>$F$4=$M$64</formula>
    </cfRule>
  </conditionalFormatting>
  <conditionalFormatting sqref="I18:I19">
    <cfRule type="expression" dxfId="100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E4" sqref="E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7" t="s">
        <v>823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366"/>
      <c r="H4" s="366"/>
      <c r="I4" s="366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366"/>
      <c r="H5" s="366"/>
      <c r="I5" s="366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366"/>
      <c r="H6" s="366"/>
      <c r="I6" s="366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5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5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5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8"/>
      <c r="B20" s="397"/>
      <c r="C20" s="7"/>
      <c r="E20" s="7"/>
      <c r="F20" s="7"/>
      <c r="G20" s="5"/>
      <c r="H20" s="5"/>
      <c r="L20" s="5"/>
    </row>
    <row r="21" spans="1:1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D23" s="7"/>
      <c r="E23" s="7"/>
      <c r="F23" s="7"/>
      <c r="G23" s="592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7" t="str">
        <f>+Faworyt!C25</f>
        <v>názov</v>
      </c>
      <c r="D24" s="76" t="str">
        <f>+Faworyt!D25</f>
        <v>ks</v>
      </c>
      <c r="E24" s="76" t="str">
        <f>+Faworyt!E25</f>
        <v>cena/ks</v>
      </c>
      <c r="F24" s="76" t="str">
        <f>+Faworyt!F25</f>
        <v>cena celkom</v>
      </c>
      <c r="G24" s="78" t="str">
        <f>+Faworyt!G25</f>
        <v>celkom netto:</v>
      </c>
      <c r="H24" s="79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4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4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4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5">
        <v>228023</v>
      </c>
      <c r="C28" s="480" t="str">
        <f>+VLOOKUP(B28,cennik!$A:$G,2,FALSE)</f>
        <v>SEVROLL 10196 Focus horný vozík 18mm 2ks</v>
      </c>
      <c r="D28" s="15">
        <f>IF((D41+D42)&gt;D4,0,D4-(D41+D42))</f>
        <v>0</v>
      </c>
      <c r="E28" s="193">
        <f>+VLOOKUP(B28,cennik!$A:$G,3,FALSE)</f>
        <v>3.9346299999999998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4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5">
        <f>IF(F4=M61,362316,229440)</f>
        <v>229440</v>
      </c>
      <c r="C29" s="23" t="str">
        <f>+VLOOKUP(B29,cennik!$A:$G,2,FALSE)</f>
        <v>SEVROLL 10198 spodný vozík WD 18C HI-TEC - 2ks</v>
      </c>
      <c r="D29" s="15">
        <f>+D4</f>
        <v>0</v>
      </c>
      <c r="E29" s="193">
        <f>+VLOOKUP(B29,cennik!$A:$G,3,FALSE)</f>
        <v>5.2305400000000004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4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5">
        <v>229433</v>
      </c>
      <c r="C30" s="480" t="str">
        <f>+VLOOKUP(B30,cennik!$A:$G,2,FALSE)</f>
        <v>SEVROLL dorazová kefa zásuvná 4,8x4mm sivá</v>
      </c>
      <c r="D30" s="15">
        <f>CEILING((B4*D4*2/1000),1)</f>
        <v>0</v>
      </c>
      <c r="E30" s="193">
        <f>+VLOOKUP(B30,cennik!$A:$G,3,FALSE)</f>
        <v>0.13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4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5" t="e">
        <f>+VLOOKUP(P7,data!$C$705:$D$706,2,0)</f>
        <v>#N/A</v>
      </c>
      <c r="C31" s="480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4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4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Voliteľné príslušenstvo:</v>
      </c>
      <c r="B33" s="113"/>
      <c r="C33" s="115"/>
      <c r="D33" s="372" t="str">
        <f>+Faworyt!D34</f>
        <v>zadajte počet:</v>
      </c>
      <c r="E33" s="86"/>
      <c r="F33" s="86"/>
      <c r="G33" s="87"/>
      <c r="H33" s="5"/>
      <c r="I33" s="364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pozicionér do horného vedenia</v>
      </c>
      <c r="B34" s="66">
        <v>298035</v>
      </c>
      <c r="C34" s="480" t="str">
        <f>+VLOOKUP(B34,cennik!$A:$G,2,FALSE)</f>
        <v>SEVROLL 20326 Fix pozicionér pre horný vozík transparentný</v>
      </c>
      <c r="D34" s="27"/>
      <c r="E34" s="193">
        <f>+VLOOKUP(B34,cennik!$A:$G,3,FALSE)</f>
        <v>1.0929500000000001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4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pozicionér </v>
      </c>
      <c r="B35" s="15">
        <f>IF(F4="Gemini",387424,89063)</f>
        <v>89063</v>
      </c>
      <c r="C35" s="480" t="str">
        <f>+VLOOKUP(B35,cennik!$A:$G,2,FALSE)</f>
        <v>SEVROLL 20080 pozicionér spodného vozíka HI-TEC</v>
      </c>
      <c r="D35" s="27"/>
      <c r="E35" s="193">
        <f>+VLOOKUP(B35,cennik!$A:$G,3,FALSE)</f>
        <v>0.31226999999999999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4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 Tlmič dorazu MINI do 25 kg (pár)</v>
      </c>
      <c r="B36" s="15">
        <v>318662</v>
      </c>
      <c r="C36" s="23" t="str">
        <f>+VLOOKUP(B36,cennik!$A:$G,2,FALSE)</f>
        <v>SEVROLL 20368-SV tlmič dorazu Mini SV25 (14-25kg)</v>
      </c>
      <c r="D36" s="278"/>
      <c r="E36" s="86">
        <f>+VLOOKUP(B36,cennik!$A:$G,3,FALSE)</f>
        <v>22.951930000000001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4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 Tlmič dorazu MINI do 40 kg (pár)</v>
      </c>
      <c r="B37" s="15">
        <v>283956</v>
      </c>
      <c r="C37" s="23" t="str">
        <f>+VLOOKUP(B37,cennik!$A:$G,2,FALSE)</f>
        <v>SEVROLL 20258-SV tlmič dorazu Mini SV40 (25 - 40kg)</v>
      </c>
      <c r="D37" s="278"/>
      <c r="E37" s="86">
        <f>+VLOOKUP(B37,cennik!$A:$G,3,FALSE)</f>
        <v>22.951930000000001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4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 Tlmič dorazu MINI do 60 kg (pár)</v>
      </c>
      <c r="B38" s="15">
        <v>351743</v>
      </c>
      <c r="C38" s="23" t="str">
        <f>+VLOOKUP(B38,cennik!$A:$G,2,FALSE)</f>
        <v>SEVROLL 20339-SV tlmič dorazu Mini SV60 (40 - 60kg)</v>
      </c>
      <c r="D38" s="278"/>
      <c r="E38" s="86">
        <f>+VLOOKUP(B38,cennik!$A:$G,3,FALSE)</f>
        <v>22.951930000000001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4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 Tlmič pre stredné krídlo do 25 kg</v>
      </c>
      <c r="B39" s="15">
        <v>318663</v>
      </c>
      <c r="C39" s="23" t="str">
        <f>+VLOOKUP(B39,cennik!$A:$G,2,FALSE)</f>
        <v>SEVROLL 20363-SV tlmič Central 10/18mm obojstranný 25kg</v>
      </c>
      <c r="D39" s="278"/>
      <c r="E39" s="86">
        <f>+VLOOKUP(B39,cennik!$A:$G,3,FALSE)</f>
        <v>49.156689999999998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4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 Tlmič pre stredné krídlo do 40 kg</v>
      </c>
      <c r="B40" s="15">
        <v>283955</v>
      </c>
      <c r="C40" s="23" t="str">
        <f>+VLOOKUP(B40,cennik!$A:$G,2,FALSE)</f>
        <v>SEVROLL 20319-SV tlmič Central 10/18mm obojstranný 25-40kg</v>
      </c>
      <c r="D40" s="278"/>
      <c r="E40" s="86">
        <f>+VLOOKUP(B40,cennik!$A:$G,3,FALSE)</f>
        <v>49.156689999999998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4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tlmič dorazu (pár) 25 kg</v>
      </c>
      <c r="B41" s="15">
        <v>227185</v>
      </c>
      <c r="C41" s="480" t="str">
        <f>+VLOOKUP(B41,cennik!$A:$G,2,FALSE)</f>
        <v>K-SEVROLL tlmič dorazu 10/18mm 14-25kg L+P</v>
      </c>
      <c r="D41" s="27"/>
      <c r="E41" s="193">
        <f>+VLOOKUP(B41,cennik!$A:$G,3,FALSE)</f>
        <v>25.710319999999999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4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tlmič dorazu (pár) 50 kg</v>
      </c>
      <c r="B42" s="15">
        <v>227187</v>
      </c>
      <c r="C42" s="480" t="str">
        <f>+VLOOKUP(B42,cennik!$A:$G,2,FALSE)</f>
        <v>K-SEVROLL tlmič dorazu 10/18mm 25-50kg L+P</v>
      </c>
      <c r="D42" s="27"/>
      <c r="E42" s="193">
        <f>+VLOOKUP(B42,cennik!$A:$G,3,FALSE)</f>
        <v>25.710319999999999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4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Spona dorazovej kefky</v>
      </c>
      <c r="B43" s="15">
        <v>223569</v>
      </c>
      <c r="C43" s="480" t="str">
        <f>+VLOOKUP(B43,cennik!$A:$G,2,FALSE)</f>
        <v>SEVROLL 20223 spona dorazovej kefky</v>
      </c>
      <c r="D43" s="27"/>
      <c r="E43" s="193">
        <f>+VLOOKUP(B43,cennik!$A:$G,3,FALSE)</f>
        <v>7.8070000000000001E-2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4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spojovací profil H18-3metre</v>
      </c>
      <c r="B44" s="15" t="e">
        <f>+VLOOKUP($P$7,data!$C$577:$D$587,2,0)</f>
        <v>#N/A</v>
      </c>
      <c r="C44" s="480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4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spojovací T profil - 3metre /s drážkou/</v>
      </c>
      <c r="B45" s="15" t="e">
        <f>+VLOOKUP($P$7,data!$C$589:$D$598,2,0)</f>
        <v>#N/A</v>
      </c>
      <c r="C45" s="480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4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spojovací T profil - 3metre /s lemom/</v>
      </c>
      <c r="B46" s="15" t="e">
        <f>+VLOOKUP($P$7,data!$C$599:$D$608,2,0)</f>
        <v>#N/A</v>
      </c>
      <c r="C46" s="480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4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 na DTD 18mm - 3 metre /hladký/</v>
      </c>
      <c r="B47" s="7" t="e">
        <f>+VLOOKUP($P$7,data!$C$609:$D$619,2,0)</f>
        <v>#N/A</v>
      </c>
      <c r="C47" s="480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4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 na DTD 18mm - 3 metre /lem/</v>
      </c>
      <c r="B48" s="15" t="e">
        <f>+VLOOKUP($P$7,data!$C$619:$D$629,2,0)</f>
        <v>#N/A</v>
      </c>
      <c r="C48" s="480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4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uholník mini 11x17mm - 1,7m</v>
      </c>
      <c r="B49" s="7" t="e">
        <f>+VLOOKUP($P$7,data!$C$630:$D$640,2,0)</f>
        <v>#N/A</v>
      </c>
      <c r="C49" s="480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4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uholník mini 11x17mm - 2,35m</v>
      </c>
      <c r="B50" s="7" t="e">
        <f>+VLOOKUP($P$7,data!$C$642:$D$652,2,0)</f>
        <v>#N/A</v>
      </c>
      <c r="C50" s="480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4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uholník mini 11x17mm - 3m</v>
      </c>
      <c r="B51" s="7" t="e">
        <f>+VLOOKUP($P$7,data!$C$654:$D$664,2,0)</f>
        <v>#N/A</v>
      </c>
      <c r="C51" s="480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4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uholník K2 19x18mm - 1,7m</v>
      </c>
      <c r="B52" s="15" t="e">
        <f>+VLOOKUP($P$7,data!$C$666:$D$675,2,0)</f>
        <v>#N/A</v>
      </c>
      <c r="C52" s="480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4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uholník K2 19x18mm - 2,35m</v>
      </c>
      <c r="B53" s="15" t="e">
        <f>+VLOOKUP($P$7,data!$C$676:$D$685,2,0)</f>
        <v>#N/A</v>
      </c>
      <c r="C53" s="480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4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uholník K2 19x18mm - 3,00m</v>
      </c>
      <c r="B54" s="15" t="e">
        <f>+VLOOKUP($P$7,data!$C$686:$D$695,2,0)</f>
        <v>#N/A</v>
      </c>
      <c r="C54" s="480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4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klínok pre dilatáciu výplne 16mm</v>
      </c>
      <c r="B55" s="15">
        <v>308631</v>
      </c>
      <c r="C55" s="480" t="str">
        <f>+VLOOKUP(B55,cennik!$A:$G,2,FALSE)</f>
        <v>SEVROLL 20252 klin pre lamino hrúbka 2mm (100 ks)</v>
      </c>
      <c r="D55" s="27"/>
      <c r="E55" s="193">
        <f>+VLOOKUP(B55,cennik!$A:$G,3,FALSE)</f>
        <v>8.7956400000000006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4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zámok posuvných dverí</v>
      </c>
      <c r="B56" s="15">
        <v>216363</v>
      </c>
      <c r="C56" s="480" t="str">
        <f>+VLOOKUP(B56,cennik!$A:$G,2,FALSE)</f>
        <v>SEVROLL 20356 zámok na posuvné dvere 10/18mm</v>
      </c>
      <c r="D56" s="27"/>
      <c r="E56" s="193">
        <f>+VLOOKUP(B56,cennik!$A:$G,3,FALSE)</f>
        <v>15.855560000000001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4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protiprachový kartáč samolepiaci</v>
      </c>
      <c r="B57" s="15">
        <v>308639</v>
      </c>
      <c r="C57" s="23" t="str">
        <f>+VLOOKUP(B57,cennik!$A:$G,2,FALSE)</f>
        <v>SEVROLL protiprachový kartáč samolep. 6,7x13mm</v>
      </c>
      <c r="D57" s="27"/>
      <c r="E57" s="193">
        <f>+VLOOKUP(B57,cennik!$A:$G,3,FALSE)</f>
        <v>0.34048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4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Technický nákres tohoto systému</v>
      </c>
      <c r="D60" s="73" t="str">
        <f>+Faworyt!D61</f>
        <v>CELKOM  (bez DPH)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Vaša poznámka:</v>
      </c>
      <c r="B61" s="710"/>
      <c r="C61" s="711"/>
      <c r="D61" s="711"/>
      <c r="E61" s="711"/>
      <c r="F61" s="711"/>
      <c r="G61" s="712"/>
      <c r="H61" s="5"/>
      <c r="L61" s="4" t="str">
        <f>texty!$A$128</f>
        <v xml:space="preserve">strieborná 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oliva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9" priority="3">
      <formula>SUM($D$39:$D$40)&gt;0</formula>
    </cfRule>
  </conditionalFormatting>
  <conditionalFormatting sqref="D6">
    <cfRule type="expression" dxfId="97" priority="7">
      <formula>$D$4=4</formula>
    </cfRule>
    <cfRule type="expression" dxfId="96" priority="8">
      <formula>$D$4&lt;&gt;4</formula>
    </cfRule>
  </conditionalFormatting>
  <conditionalFormatting sqref="G4:I6">
    <cfRule type="expression" dxfId="95" priority="6">
      <formula>$D$4=4</formula>
    </cfRule>
  </conditionalFormatting>
  <conditionalFormatting sqref="I16:I17">
    <cfRule type="expression" dxfId="94" priority="4">
      <formula>$F$4=$M$62</formula>
    </cfRule>
  </conditionalFormatting>
  <conditionalFormatting sqref="I18:I19">
    <cfRule type="expression" dxfId="93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7" t="s">
        <v>585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27" customHeight="1" x14ac:dyDescent="0.25">
      <c r="A4" s="9" t="str">
        <f>texty!A70</f>
        <v>VNÚTORNÝ ROZMER SKRINE:</v>
      </c>
      <c r="B4" s="52"/>
      <c r="C4" s="52"/>
      <c r="D4" s="20"/>
      <c r="E4" s="194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3" t="str">
        <f>IFERROR((B8-4),"")</f>
        <v/>
      </c>
      <c r="C10" s="387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381" t="str">
        <f>IFERROR((B8+2),"")</f>
        <v/>
      </c>
      <c r="C11" s="382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Max. veľkosť krídla so zrkadlom je 2400x700mm</v>
      </c>
      <c r="C12" s="388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dodatočné odpočty výšky vypočítaných výplní pri použití deliacich profilov výplne: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spodný profil: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krycí profil (maska):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14">
        <v>228023</v>
      </c>
      <c r="C28" s="480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4">
        <f>IF(F4=M64,362316,229440)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4">
        <v>229433</v>
      </c>
      <c r="C30" s="480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4" t="e">
        <f>+VLOOKUP(P7,data!C696:D700,2,0)</f>
        <v>#N/A</v>
      </c>
      <c r="C31" s="48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Voliteľné príslušenstvo:</v>
      </c>
      <c r="B33" s="14"/>
      <c r="C33" s="23"/>
      <c r="D33" s="372" t="str">
        <f>+Faworyt!D34</f>
        <v>zadajte počet:</v>
      </c>
      <c r="E33" s="86"/>
      <c r="F33" s="86"/>
      <c r="G33" s="87"/>
      <c r="H33" s="5"/>
      <c r="I33" s="364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4">
        <f>IF(F4="Gemini",387424,89063)</f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4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22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22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22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22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22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22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4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4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4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4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5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4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uholník mini 11x17mm - 1,7m</v>
      </c>
      <c r="B49" s="5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uholník mini 11x17mm - 2,35m</v>
      </c>
      <c r="B50" s="5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uholník mini 11x17mm - 3m</v>
      </c>
      <c r="B51" s="13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uholník K2 19x18mm - 1,7m</v>
      </c>
      <c r="B52" s="22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uholník K2 19x18mm - 2,35m</v>
      </c>
      <c r="B53" s="14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uholník K2 19x18mm - 3,00m</v>
      </c>
      <c r="B54" s="14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klínok pre dilatáciu výplne 16mm</v>
      </c>
      <c r="B55" s="14">
        <v>308631</v>
      </c>
      <c r="C55" s="480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zámok posuvných dverí</v>
      </c>
      <c r="B56" s="22">
        <v>216363</v>
      </c>
      <c r="C56" s="480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protiprachový kartáč samolepiaci</v>
      </c>
      <c r="B57" s="22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Ďalšie príslušenstvo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Technický nákres tohoto systému</v>
      </c>
      <c r="B62" s="15"/>
      <c r="C62" s="23"/>
      <c r="D62" s="72" t="str">
        <f>+Faworyt!D61</f>
        <v>CELKOM  (bez DPH)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Vaša poznámka: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 xml:space="preserve">strieborná </v>
      </c>
      <c r="M64" s="19" t="s">
        <v>968</v>
      </c>
    </row>
    <row r="65" spans="1:14" ht="12.75" customHeight="1" x14ac:dyDescent="0.25">
      <c r="A65" s="695" t="str">
        <f>IF(N65=1,texty!A215,IF(J65&gt;0,texty!A214,""))</f>
        <v>niektoré položky sa vo vybranej dĺžke nevyrábajú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oliva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oliva kartáčovaná</v>
      </c>
    </row>
    <row r="67" spans="1:14" ht="12.75" hidden="1" customHeight="1" x14ac:dyDescent="0.25">
      <c r="L67" s="4" t="str">
        <f>data!J8</f>
        <v>kart. tm. oliva</v>
      </c>
    </row>
    <row r="68" spans="1:14" ht="12.75" hidden="1" customHeight="1" x14ac:dyDescent="0.25">
      <c r="L68" s="4" t="str">
        <f>data!J9</f>
        <v>kart. čierna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92" priority="3">
      <formula>SUM($D$39:$D$40)&gt;0</formula>
    </cfRule>
  </conditionalFormatting>
  <conditionalFormatting sqref="D6">
    <cfRule type="expression" dxfId="90" priority="7">
      <formula>$D$4=4</formula>
    </cfRule>
    <cfRule type="expression" dxfId="89" priority="8">
      <formula>$D$4&lt;&gt;4</formula>
    </cfRule>
  </conditionalFormatting>
  <conditionalFormatting sqref="G4">
    <cfRule type="expression" dxfId="88" priority="6">
      <formula>$D$4=4</formula>
    </cfRule>
  </conditionalFormatting>
  <conditionalFormatting sqref="I16:I17">
    <cfRule type="expression" dxfId="87" priority="4">
      <formula>$F$4=$M$65</formula>
    </cfRule>
  </conditionalFormatting>
  <conditionalFormatting sqref="I18:I19">
    <cfRule type="expression" dxfId="86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7" t="s">
        <v>833</v>
      </c>
      <c r="B2" s="317" t="str">
        <f>profil!T7</f>
        <v>Zákazník:, , IČO:</v>
      </c>
      <c r="C2" s="15"/>
      <c r="D2" s="15"/>
      <c r="E2" s="15"/>
      <c r="F2" s="22"/>
      <c r="G2" s="22"/>
      <c r="H2" s="22"/>
      <c r="I2" s="22"/>
      <c r="K2" s="5">
        <v>3</v>
      </c>
      <c r="AD2" s="469" t="s">
        <v>6714</v>
      </c>
      <c r="AE2" s="469" t="s">
        <v>6708</v>
      </c>
      <c r="AF2" s="469" t="s">
        <v>6709</v>
      </c>
      <c r="AG2" s="469" t="s">
        <v>6715</v>
      </c>
      <c r="AH2" s="469" t="s">
        <v>6716</v>
      </c>
    </row>
    <row r="3" spans="1:34" ht="38.25" customHeight="1" thickBot="1" x14ac:dyDescent="0.3">
      <c r="A3" s="587" t="str">
        <f>CONCATENATE(texty!A243," ",7,".",39)</f>
        <v>Katalóg Kovania 2024 str. 7.39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K3" s="5"/>
      <c r="AD3" s="469" t="s">
        <v>6710</v>
      </c>
      <c r="AE3" s="469" t="s">
        <v>6711</v>
      </c>
      <c r="AF3" s="469" t="s">
        <v>6712</v>
      </c>
      <c r="AG3" s="469" t="s">
        <v>6713</v>
      </c>
      <c r="AH3" s="468" t="s">
        <v>6717</v>
      </c>
    </row>
    <row r="4" spans="1:34" ht="24" customHeight="1" x14ac:dyDescent="0.25">
      <c r="A4" s="321" t="str">
        <f>texty!A70</f>
        <v>VNÚTORNÝ ROZMER SKRINE: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9">
        <v>2</v>
      </c>
      <c r="AE4" s="469">
        <v>3</v>
      </c>
      <c r="AF4" s="469">
        <v>4</v>
      </c>
      <c r="AG4" s="469">
        <v>5</v>
      </c>
      <c r="AH4" s="468">
        <v>6</v>
      </c>
    </row>
    <row r="5" spans="1:34" ht="18" customHeight="1" x14ac:dyDescent="0.25">
      <c r="A5" s="321"/>
      <c r="B5" s="683" t="str">
        <f>texty!A45</f>
        <v>vypíšte týchto 5 políčok !!! Údaje v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9">
        <v>3</v>
      </c>
      <c r="AE5" s="469">
        <v>4</v>
      </c>
      <c r="AF5" s="469">
        <v>5</v>
      </c>
      <c r="AG5" s="469">
        <v>6</v>
      </c>
      <c r="AH5" s="468">
        <v>7</v>
      </c>
    </row>
    <row r="6" spans="1:34" ht="18" customHeight="1" x14ac:dyDescent="0.25">
      <c r="A6" s="321"/>
      <c r="B6" s="598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9">
        <v>4</v>
      </c>
      <c r="AE6" s="469">
        <v>5</v>
      </c>
      <c r="AF6" s="469">
        <v>6</v>
      </c>
      <c r="AG6" s="469">
        <v>7</v>
      </c>
      <c r="AH6" s="468">
        <v>8</v>
      </c>
    </row>
    <row r="7" spans="1:34" ht="12.75" customHeight="1" x14ac:dyDescent="0.25">
      <c r="A7" s="322" t="str">
        <f>texty!A71</f>
        <v>krídlo dverí:</v>
      </c>
      <c r="B7" s="53" t="str">
        <f>IF(B4&gt;0,B4-40,"")</f>
        <v/>
      </c>
      <c r="C7" s="467" t="str">
        <f>IFERROR((((C4-3+(25*(D4-1)))/D4+IF(AND(D4=4,D6=2),L1,0))),texty!A235)</f>
        <v> Maximálna šírka krídla môže byť 1 100 mm !!!</v>
      </c>
      <c r="D7" s="15"/>
      <c r="E7" s="15"/>
      <c r="F7" s="19"/>
      <c r="G7" s="330" t="str">
        <f>texty!A42</f>
        <v>u sklenenej výplne (alebo zrkadla)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9"/>
      <c r="AE7" s="469">
        <v>6</v>
      </c>
      <c r="AF7" s="469">
        <v>7</v>
      </c>
      <c r="AG7" s="469">
        <v>8</v>
      </c>
      <c r="AH7" s="468">
        <v>9</v>
      </c>
    </row>
    <row r="8" spans="1:34" ht="12.75" customHeight="1" x14ac:dyDescent="0.25">
      <c r="A8" s="322" t="str">
        <f>texty!A73</f>
        <v>rozmer zrkadla / skla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je treba použiť bezpečnostné sklo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9"/>
      <c r="AE8" s="469">
        <v>7</v>
      </c>
      <c r="AF8" s="469">
        <v>8</v>
      </c>
      <c r="AG8" s="469">
        <v>9</v>
      </c>
      <c r="AH8" s="468">
        <v>10</v>
      </c>
    </row>
    <row r="9" spans="1:34" ht="12.75" customHeight="1" x14ac:dyDescent="0.25">
      <c r="A9" s="322" t="str">
        <f>texty!A74</f>
        <v>dĺžka vodiacej a krycej lišty krídla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alebo sklo zabezpečiť ochrannou fóliou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Horný/spodný profil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úchytová lišta</v>
      </c>
      <c r="B11" s="381" t="str">
        <f>+B7</f>
        <v/>
      </c>
      <c r="C11" s="382"/>
      <c r="D11" s="15"/>
      <c r="E11" s="15"/>
      <c r="F11" s="19"/>
      <c r="G11" s="21" t="str">
        <f>texty!A43</f>
        <v>Maximálna hmotnosť krídla je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9" t="str">
        <f>IFERROR((IF(C7&gt;1100,texty!A235,""))," ")</f>
        <v> Maximálna šírka krídla môže byť 1 100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401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partnerská zľava: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Objednávacie kódy, ceny:</v>
      </c>
      <c r="B27" s="15"/>
      <c r="C27" s="19"/>
      <c r="D27" s="15"/>
      <c r="E27" s="15"/>
      <c r="F27" s="15"/>
      <c r="G27" s="588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kód</v>
      </c>
      <c r="C28" s="18" t="str">
        <f>texty!A16</f>
        <v>názov</v>
      </c>
      <c r="D28" s="17" t="str">
        <f>texty!A17</f>
        <v>ks</v>
      </c>
      <c r="E28" s="17" t="str">
        <f>texty!A18</f>
        <v>cena/ks</v>
      </c>
      <c r="F28" s="17" t="str">
        <f>texty!A19</f>
        <v>cena celkom</v>
      </c>
      <c r="G28" s="18" t="str">
        <f>texty!A20</f>
        <v>celkom netto:</v>
      </c>
      <c r="H28" s="22"/>
      <c r="I28" s="18" t="str">
        <f>texty!A29</f>
        <v>Poznámka: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Horný profil: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spodný profil: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krycí profil (maska):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horné vozíky (sady)</v>
      </c>
      <c r="B32" s="14">
        <v>228009</v>
      </c>
      <c r="C32" s="23" t="str">
        <f>+VLOOKUP(B32,cennik!A:G,2,FALSE)</f>
        <v>SEVROLL 10204 horný vozík Gemini symetrický 10mm - 2ks</v>
      </c>
      <c r="D32" s="15">
        <f>IF((D53+D54)&gt;D4,0,D4-(D53+D54))</f>
        <v>0</v>
      </c>
      <c r="E32" s="86">
        <f>+VLOOKUP(B32,cennik!A:G,3,FALSE)</f>
        <v>5.1758899999999999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spodné vozíky (sada)</v>
      </c>
      <c r="B33" s="14">
        <f>IF(F4=L60,328321,229441)</f>
        <v>229441</v>
      </c>
      <c r="C33" s="23" t="str">
        <f>+VLOOKUP(B33,cennik!A:G,2,FALSE)</f>
        <v>SEVROLL 10200 spodný vozík WD 10C HI-TEC - 2ks</v>
      </c>
      <c r="D33" s="15">
        <f>+D4</f>
        <v>0</v>
      </c>
      <c r="E33" s="86">
        <f>+VLOOKUP(B33,cennik!A:G,3,FALSE)</f>
        <v>6.6617899999999999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dorazový kartáč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úchytová lišta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spojovacia skrutka</v>
      </c>
      <c r="B36" s="14">
        <v>89244</v>
      </c>
      <c r="C36" s="23" t="str">
        <f>+VLOOKUP(B36,cennik!A:G,2,FALSE)</f>
        <v>SEVROLL 20001 skrutkovrut 6,3x32 SEVROLL a Simple</v>
      </c>
      <c r="D36" s="15">
        <f>+D4*4</f>
        <v>0</v>
      </c>
      <c r="E36" s="86">
        <f>+VLOOKUP(B36,cennik!A:G,3,FALSE)</f>
        <v>0.15614</v>
      </c>
      <c r="F36" s="86">
        <f t="shared" si="0"/>
        <v>0</v>
      </c>
      <c r="G36" s="466">
        <f>+F36*(100-G27)/100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horný profil rámu (vodiaca lišta)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6" t="e">
        <f>+F37*(100-G27)/100</f>
        <v>#N/A</v>
      </c>
      <c r="H37" s="22" t="str">
        <f>cennik!B2</f>
        <v>EUR</v>
      </c>
      <c r="I37" s="364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horizontálny spodný profil rámu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6" t="e">
        <f>+F38*(100-G27)/100</f>
        <v>#N/A</v>
      </c>
      <c r="H38" s="22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 záslepka otvorov (4 ks)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6" t="e">
        <f>+F39*(100-G27)/100</f>
        <v>#N/A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4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4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Voliteľné príslušenstvo:</v>
      </c>
      <c r="B42" s="13"/>
      <c r="D42" s="24" t="str">
        <f>texty!A33</f>
        <v>zadajte počet:</v>
      </c>
      <c r="E42" s="86"/>
      <c r="F42" s="86"/>
      <c r="G42" s="266"/>
      <c r="H42" s="22"/>
      <c r="I42" s="364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pozicionér do horného vedenia</v>
      </c>
      <c r="B43" s="13">
        <v>298035</v>
      </c>
      <c r="C43" s="23" t="str">
        <f>+VLOOKUP(B43,cennik!A:G,2,FALSE)</f>
        <v>SEVROLL 20326 Fix pozicionér pre horný vozík transparentný</v>
      </c>
      <c r="D43" s="27"/>
      <c r="E43" s="265">
        <f>+VLOOKUP(B43,cennik!A:G,3,FALSE)</f>
        <v>1.0929500000000001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 xml:space="preserve">pozicionér </v>
      </c>
      <c r="B44" s="14">
        <f>IF(F4="Gemini",387424,89063)</f>
        <v>89063</v>
      </c>
      <c r="C44" s="23" t="str">
        <f>+VLOOKUP(B44,cennik!A:G,2,FALSE)</f>
        <v>SEVROLL 20080 pozicionér spodného vozíka HI-TEC</v>
      </c>
      <c r="D44" s="27"/>
      <c r="E44" s="265">
        <f>+VLOOKUP(B44,cennik!A:G,3,FALSE)</f>
        <v>0.31226999999999999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 nalepovacia úchytka, biela lesk</v>
      </c>
      <c r="B45" s="15">
        <v>288125</v>
      </c>
      <c r="C45" s="23" t="str">
        <f>+VLOOKUP(B45,cennik!A:G,2,FALSE)</f>
        <v>SEVROLL 20329 Pax nalepovacia úchytka biela lesk</v>
      </c>
      <c r="D45" s="27"/>
      <c r="E45" s="265">
        <f>+VLOOKUP(B45,cennik!A:G,3,FALSE)</f>
        <v>8.0149600000000003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 nalepovacia úchytka, strieborná</v>
      </c>
      <c r="B46" s="22">
        <v>288126</v>
      </c>
      <c r="C46" s="23" t="str">
        <f>+VLOOKUP(B46,cennik!A:G,2,FALSE)</f>
        <v>SEVROLL 20328 Pax nalepovacia úchytka strieborná</v>
      </c>
      <c r="D46" s="27"/>
      <c r="E46" s="86">
        <f>+VLOOKUP(B46,cennik!A:G,3,FALSE)</f>
        <v>6.1673600000000004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 Výstuha – profil 3m</v>
      </c>
      <c r="B47" s="22">
        <v>283904</v>
      </c>
      <c r="C47" s="23" t="str">
        <f>+VLOOKUP(B47,cennik!A:G,2,FALSE)</f>
        <v>SEVROLL 04318 Pax výztuha 3m strieborná</v>
      </c>
      <c r="D47" s="27"/>
      <c r="E47" s="86">
        <f>+VLOOKUP(B47,cennik!A:G,3,FALSE)</f>
        <v>28.963149999999999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 Tlmič dorazu MINI do 25 kg (pár)</v>
      </c>
      <c r="B48" s="14">
        <v>318662</v>
      </c>
      <c r="C48" s="23" t="str">
        <f>+VLOOKUP(B48,cennik!A:G,2,FALSE)</f>
        <v>SEVROLL 20368-SV tlmič dorazu Mini SV25 (14-25kg)</v>
      </c>
      <c r="D48" s="27"/>
      <c r="E48" s="86">
        <f>+VLOOKUP(B48,cennik!A:G,3,FALSE)</f>
        <v>22.951930000000001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 Tlmič dorazu MINI do 40 kg (pár)</v>
      </c>
      <c r="B49" s="22">
        <v>283956</v>
      </c>
      <c r="C49" s="23" t="str">
        <f>+VLOOKUP(B49,cennik!A:G,2,FALSE)</f>
        <v>SEVROLL 20258-SV tlmič dorazu Mini SV40 (25 - 40kg)</v>
      </c>
      <c r="D49" s="27"/>
      <c r="E49" s="86">
        <f>+VLOOKUP(B49,cennik!A:G,3,FALSE)</f>
        <v>22.951930000000001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 Tlmič dorazu MINI do 60 kg (pár)</v>
      </c>
      <c r="B50" s="22">
        <v>351743</v>
      </c>
      <c r="C50" s="23" t="str">
        <f>+VLOOKUP(B50,cennik!A:G,2,FALSE)</f>
        <v>SEVROLL 20339-SV tlmič dorazu Mini SV60 (40 - 60kg)</v>
      </c>
      <c r="D50" s="27"/>
      <c r="E50" s="86">
        <f>+VLOOKUP(B50,cennik!A:G,3,FALSE)</f>
        <v>22.951930000000001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 Tlmič pre stredné krídlo do 25 kg</v>
      </c>
      <c r="B51" s="22">
        <v>318663</v>
      </c>
      <c r="C51" s="23" t="str">
        <f>+VLOOKUP(B51,cennik!A:G,2,FALSE)</f>
        <v>SEVROLL 20363-SV tlmič Central 10/18mm obojstranný 25kg</v>
      </c>
      <c r="D51" s="27"/>
      <c r="E51" s="86">
        <f>+VLOOKUP(B51,cennik!A:G,3,FALSE)</f>
        <v>49.156689999999998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 Tlmič pre stredné krídlo do 40 kg</v>
      </c>
      <c r="B52" s="22">
        <v>283955</v>
      </c>
      <c r="C52" s="23" t="str">
        <f>+VLOOKUP(B52,cennik!A:G,2,FALSE)</f>
        <v>SEVROLL 20319-SV tlmič Central 10/18mm obojstranný 25-40kg</v>
      </c>
      <c r="D52" s="27"/>
      <c r="E52" s="86">
        <f>+VLOOKUP(B52,cennik!A:G,3,FALSE)</f>
        <v>49.156689999999998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tlmič dorazu (pár) 25 kg</v>
      </c>
      <c r="B53" s="22">
        <v>227185</v>
      </c>
      <c r="C53" s="23" t="str">
        <f>+VLOOKUP(B53,cennik!A:G,2,FALSE)</f>
        <v>K-SEVROLL tlmič dorazu 10/18mm 14-25kg L+P</v>
      </c>
      <c r="D53" s="27"/>
      <c r="E53" s="86">
        <f>+VLOOKUP(B53,cennik!A:G,3,FALSE)</f>
        <v>25.710319999999999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tlmič dorazu (pár) 50 kg</v>
      </c>
      <c r="B54" s="22">
        <v>227187</v>
      </c>
      <c r="C54" s="23" t="str">
        <f>+VLOOKUP(B54,cennik!A:G,2,FALSE)</f>
        <v>K-SEVROLL tlmič dorazu 10/18mm 25-50kg L+P</v>
      </c>
      <c r="D54" s="27"/>
      <c r="E54" s="86">
        <f>+VLOOKUP(B54,cennik!A:G,3,FALSE)</f>
        <v>25.710319999999999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28"/>
      <c r="E55" s="86">
        <f>+VLOOKUP(B55,cennik!A:G,3,FALSE)</f>
        <v>0.20741000000000001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spojovacia skrutka</v>
      </c>
      <c r="B56" s="14">
        <v>89244</v>
      </c>
      <c r="C56" s="23" t="str">
        <f>+VLOOKUP(B56,cennik!A:G,2,FALSE)</f>
        <v>SEVROLL 20001 skrutkovrut 6,3x32 SEVROLL a Simple</v>
      </c>
      <c r="D56" s="354"/>
      <c r="E56" s="86">
        <f>+VLOOKUP(B56,cennik!A:G,3,FALSE)</f>
        <v>0.15614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93"/>
      <c r="H58" s="22"/>
      <c r="I58" s="334"/>
      <c r="J58" s="174"/>
    </row>
    <row r="59" spans="1:12" ht="15" x14ac:dyDescent="0.25">
      <c r="A59" s="328" t="str">
        <f>texty!A190</f>
        <v>Ďalšie príslušenstvo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Technický nákres tohoto systému</v>
      </c>
      <c r="B60" s="196">
        <v>128842</v>
      </c>
      <c r="C60" s="153" t="str">
        <f>VLOOKUP(B60,cennik!A:C,2,0)</f>
        <v>SEVROLL 20144 vrták stupňovitý 6,5/9,5mm</v>
      </c>
      <c r="D60" s="41"/>
      <c r="E60" s="86">
        <f>+VLOOKUP(B60,cennik!A:G,3,FALSE)</f>
        <v>26.752659999999999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 xml:space="preserve">strieborná 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biela lesk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CELKOM  (bez DPH)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čierna mat</v>
      </c>
    </row>
    <row r="63" spans="1:12" ht="12.75" customHeight="1" x14ac:dyDescent="0.25">
      <c r="A63" s="337" t="str">
        <f>texty!A14</f>
        <v>Vaša poznámka: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niektoré položky sa vo vybranej dĺžke nevyrábajú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71" priority="7">
      <formula>SUM($D$51:$D$52)&gt;0</formula>
    </cfRule>
  </conditionalFormatting>
  <conditionalFormatting sqref="D6">
    <cfRule type="expression" dxfId="369" priority="15">
      <formula>$D$4&lt;&gt;4</formula>
    </cfRule>
    <cfRule type="expression" dxfId="368" priority="16">
      <formula>$D$4=4</formula>
    </cfRule>
  </conditionalFormatting>
  <conditionalFormatting sqref="G4">
    <cfRule type="expression" dxfId="367" priority="14">
      <formula>$D$4=4</formula>
    </cfRule>
  </conditionalFormatting>
  <conditionalFormatting sqref="I20:I21">
    <cfRule type="expression" dxfId="366" priority="10">
      <formula>$F$4=$L$61</formula>
    </cfRule>
  </conditionalFormatting>
  <conditionalFormatting sqref="I22:I23">
    <cfRule type="expression" dxfId="365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7" t="s">
        <v>851</v>
      </c>
      <c r="B2" s="50" t="str">
        <f>profil!T7</f>
        <v>Zákazník:, , IČO: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K3" s="5"/>
    </row>
    <row r="4" spans="1:15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7"/>
    </row>
    <row r="5" spans="1:15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dĺžka úchytkového profilu (+2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Pri tejto zostave nie je možné použiť kombináciu so sklom / zrkadlom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602"/>
      <c r="C11" s="605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400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K22" s="5"/>
    </row>
    <row r="23" spans="1:11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</row>
    <row r="25" spans="1:11" ht="12.75" customHeight="1" x14ac:dyDescent="0.25">
      <c r="A25" s="6" t="str">
        <f>+Faworyt!A26</f>
        <v>horný profil:</v>
      </c>
      <c r="B25" s="292" t="e">
        <f>+VLOOKUP(N8,data!C211:D230,2,0)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horný vozík</v>
      </c>
      <c r="B28" s="66">
        <v>228023</v>
      </c>
      <c r="C28" s="480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dorazový kartáč</v>
      </c>
      <c r="B30" s="170">
        <v>229433</v>
      </c>
      <c r="C30" s="480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úchytková lišta</v>
      </c>
      <c r="B31" s="170" t="e">
        <f>+VLOOKUP(O7,data!C707:D708,2,0)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Voliteľné príslušenstvo:</v>
      </c>
      <c r="B33" s="170"/>
      <c r="C33" s="23"/>
      <c r="D33" s="372" t="str">
        <f>+Faworyt!D34</f>
        <v>zadajte počet: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pozicionér do horného vedenia</v>
      </c>
      <c r="B34" s="170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Spona dorazovej kefky</v>
      </c>
      <c r="B43" s="170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spojovací profil H18-3metre</v>
      </c>
      <c r="B44" s="170" t="e">
        <f>+VLOOKUP(O7,data!C577:D587,2,0)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spojovací T profil - 3metre /s drážkou/</v>
      </c>
      <c r="B45" s="170" t="e">
        <f>+VLOOKUP(O7,data!C589:D598,2,0)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spojovací T profil - 3metre /s lemom/</v>
      </c>
      <c r="B46" s="170" t="e">
        <f>+VLOOKUP(O7,data!C599:D608,2,0)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 na DTD 18mm - 3 metre /hladký/</v>
      </c>
      <c r="B47" s="292" t="e">
        <f>+VLOOKUP(O7,data!C609:D619,2,0)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 na DTD 18mm - 3 metre /lem/</v>
      </c>
      <c r="B48" s="170" t="e">
        <f>+VLOOKUP(O7,data!C619:D629,2,0)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uholník mini 11x17mm - 1,7m</v>
      </c>
      <c r="B49" s="292" t="e">
        <f>+VLOOKUP(O7,data!C630:D640,2,0)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uholník mini 11x17mm - 2,35m</v>
      </c>
      <c r="B50" s="292" t="e">
        <f>+VLOOKUP(O7,data!C642:D652,2,0)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uholník mini 11x17mm - 3m</v>
      </c>
      <c r="B51" s="487" t="e">
        <f>+VLOOKUP(O7,data!C654:D664,2,0)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uholník K2 19x18mm - 1,7m</v>
      </c>
      <c r="B52" s="66" t="e">
        <f>+VLOOKUP(O7,data!C666:D675,2,0)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uholník K2 19x18mm - 2,35m</v>
      </c>
      <c r="B53" s="170" t="e">
        <f>+VLOOKUP(O7,data!C676:D685,2,0)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uholník K2 19x18mm - 3,00m</v>
      </c>
      <c r="B54" s="170" t="e">
        <f>+VLOOKUP(O7,data!C686:D695,2,0)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80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Technický nákres tohoto systému</v>
      </c>
      <c r="C59" s="36"/>
      <c r="D59" s="74" t="str">
        <f>+Faworyt!D61</f>
        <v>CELKOM  (bez DPH)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oliva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5" priority="3">
      <formula>SUM($D$39:$D$40)&gt;0</formula>
    </cfRule>
  </conditionalFormatting>
  <conditionalFormatting sqref="D6">
    <cfRule type="expression" dxfId="83" priority="7">
      <formula>$D$4=4</formula>
    </cfRule>
    <cfRule type="expression" dxfId="82" priority="8">
      <formula>$D$4&lt;&gt;4</formula>
    </cfRule>
  </conditionalFormatting>
  <conditionalFormatting sqref="G4">
    <cfRule type="expression" dxfId="81" priority="6">
      <formula>$D$4=4</formula>
    </cfRule>
  </conditionalFormatting>
  <conditionalFormatting sqref="I17:I18">
    <cfRule type="expression" dxfId="80" priority="4">
      <formula>$F$4=$M$64</formula>
    </cfRule>
  </conditionalFormatting>
  <conditionalFormatting sqref="I19:I20">
    <cfRule type="expression" dxfId="79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7" t="s">
        <v>828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90" t="str">
        <f>IFERROR((C7-3),"")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5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5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K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8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80" t="str">
        <f>+VLOOKUP(B28,cennik!A:G,2,FALSE)</f>
        <v>SEVROLL 10196 Focus horný vozík 18mm 2ks</v>
      </c>
      <c r="D28" s="15">
        <f>IF((D41+D42)&gt;D4,0,D4-(D41+D42))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89131</v>
      </c>
      <c r="C30" s="480" t="str">
        <f>+VLOOKUP(B30,cennik!A:G,2,FALSE)</f>
        <v>SEVROLL dorazový kartáč samolepiaci 6,7x4mm</v>
      </c>
      <c r="D30" s="15">
        <f>CEILING((B4*D4*2/1000),1)</f>
        <v>0</v>
      </c>
      <c r="E30" s="193">
        <f>+VLOOKUP(B30,cennik!A:G,3,FALSE)</f>
        <v>0.20458000000000001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+VLOOKUP(P7,data!C703:D704,2,0)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2" t="str">
        <f>+Faworyt!D34</f>
        <v>zadajte počet:</v>
      </c>
      <c r="E33" s="86"/>
      <c r="F33" s="86"/>
      <c r="G33" s="87"/>
      <c r="H33" s="5"/>
      <c r="I33" s="364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487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80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8" priority="3">
      <formula>SUM($D$39:$D$40)&gt;0</formula>
    </cfRule>
  </conditionalFormatting>
  <conditionalFormatting sqref="D6">
    <cfRule type="expression" dxfId="76" priority="7">
      <formula>$D$4=4</formula>
    </cfRule>
    <cfRule type="expression" dxfId="75" priority="8">
      <formula>$D$4&lt;&gt;4</formula>
    </cfRule>
  </conditionalFormatting>
  <conditionalFormatting sqref="G4">
    <cfRule type="expression" dxfId="74" priority="6">
      <formula>$D$4=4</formula>
    </cfRule>
  </conditionalFormatting>
  <conditionalFormatting sqref="I16:I17">
    <cfRule type="expression" dxfId="73" priority="4">
      <formula>$F$4=$M$64</formula>
    </cfRule>
  </conditionalFormatting>
  <conditionalFormatting sqref="I18:I19">
    <cfRule type="expression" dxfId="72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topLeftCell="A34" zoomScaleNormal="100" workbookViewId="0">
      <selection activeCell="C48" sqref="C48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7" t="s">
        <v>978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90" t="str">
        <f>IFERROR((C7-4),"")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9" t="str">
        <f>IFERROR((B8+2),"")</f>
        <v/>
      </c>
      <c r="C9" s="382"/>
      <c r="D9" s="7"/>
      <c r="E9" s="7"/>
      <c r="F9" s="7"/>
      <c r="G9" s="47"/>
      <c r="H9" s="5"/>
      <c r="L9" s="33"/>
      <c r="M9" s="32"/>
    </row>
    <row r="10" spans="1:16" ht="26.4" x14ac:dyDescent="0.25">
      <c r="A10" s="402" t="str">
        <f>texty!A64</f>
        <v>Pri tejto zostave nie je možné použiť kombináciu so sklom / zrkadlom</v>
      </c>
      <c r="B10" s="65"/>
      <c r="C10" s="606" t="str">
        <f>texty!A78</f>
        <v>dodatočné odpočty výšky vypočítaných výplní pri použití deliacich profilov výplne: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1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1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400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partnerská zľava:</v>
      </c>
      <c r="H22" s="5"/>
      <c r="L22" s="5"/>
    </row>
    <row r="23" spans="1:12" ht="12.75" customHeight="1" x14ac:dyDescent="0.25">
      <c r="A23" s="123" t="str">
        <f>texty!A80</f>
        <v>Objednávacie kódy,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kód</v>
      </c>
      <c r="C24" s="76" t="str">
        <f>+Faworyt!C25</f>
        <v>názov</v>
      </c>
      <c r="D24" s="76" t="str">
        <f>+Faworyt!D25</f>
        <v>ks</v>
      </c>
      <c r="E24" s="76" t="str">
        <f>+Faworyt!E25</f>
        <v>cena/ks</v>
      </c>
      <c r="F24" s="16" t="str">
        <f>+Faworyt!F25</f>
        <v>cena celkom</v>
      </c>
      <c r="G24" s="16" t="str">
        <f>+Faworyt!G25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4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80" t="str">
        <f>+VLOOKUP(B28,cennik!A:G,2,FALSE)</f>
        <v>SEVROLL 10196 Focus horný vozík 18mm 2ks</v>
      </c>
      <c r="D28" s="15">
        <f>IF((D41+D42)&gt;D4,0,D4-(D42+D41))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IF(F4=Ergo!M63,362316,229440)</f>
        <v>229440</v>
      </c>
      <c r="C29" s="23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dorazový kartáč</v>
      </c>
      <c r="B30" s="170">
        <v>229433</v>
      </c>
      <c r="C30" s="480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+VLOOKUP(P7,data!C731:D734,2,0)</f>
        <v>#N/A</v>
      </c>
      <c r="C31" s="480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4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Voliteľné príslušenstvo:</v>
      </c>
      <c r="B33" s="170"/>
      <c r="C33" s="23"/>
      <c r="D33" s="372" t="str">
        <f>+Faworyt!D34</f>
        <v>zadajte počet:</v>
      </c>
      <c r="E33" s="86"/>
      <c r="F33" s="86"/>
      <c r="G33" s="86"/>
      <c r="H33" s="87"/>
      <c r="I33" s="364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pozicionér do horného vedenia</v>
      </c>
      <c r="B34" s="170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pozicionér </v>
      </c>
      <c r="B35" s="170">
        <f>IF(F4="Gemini",387424,89063)</f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 Tlmič dorazu MINI do 25 kg (pár)</v>
      </c>
      <c r="B36" s="170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Spona dorazovej kefky</v>
      </c>
      <c r="B43" s="170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spojovací profil H18-3metre</v>
      </c>
      <c r="B44" s="170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spojovací T profil - 3metre /s drážkou/</v>
      </c>
      <c r="B45" s="170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spojovací T profil - 3metre /s lemom/</v>
      </c>
      <c r="B46" s="170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 na DTD 18mm - 3 metre /lem/</v>
      </c>
      <c r="B48" s="170" t="e">
        <f>+VLOOKUP(P7,data!C619:D629,2,0)</f>
        <v>#N/A</v>
      </c>
      <c r="C48" s="480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80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80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uholník mini 11x17mm - 3m</v>
      </c>
      <c r="B51" s="487" t="e">
        <f>+VLOOKUP(P7,data!C654:D664,2,0)</f>
        <v>#N/A</v>
      </c>
      <c r="C51" s="480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uholník K2 19x18mm - 2,35m</v>
      </c>
      <c r="B53" s="170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uholník K2 19x18mm - 3,00m</v>
      </c>
      <c r="B54" s="170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80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Technický nákres tohoto systému</v>
      </c>
      <c r="C59" s="36"/>
      <c r="D59" s="73" t="str">
        <f>+Faworyt!D61</f>
        <v>CELKOM  (bez DPH)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Vaša poznámka: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  <row r="65" spans="12:12" ht="12.75" hidden="1" customHeight="1" x14ac:dyDescent="0.25">
      <c r="L65" s="4" t="str">
        <f>data!J5</f>
        <v>zlatá</v>
      </c>
    </row>
    <row r="66" spans="12:12" ht="12.75" hidden="1" customHeight="1" x14ac:dyDescent="0.25">
      <c r="L66" s="4" t="str">
        <f>data!J17</f>
        <v>čierna mat</v>
      </c>
    </row>
  </sheetData>
  <sheetProtection algorithmName="SHA-512" hashValue="ZkoVCsb1fXWnK2K7f/kX81zOFvdjL5ctNdyY7x2G/UqU/6hFVvQJJMRAr9W2iKT73lTzxZKRTJUD25Lvw8tHXw==" saltValue="qU8AtIGBbQFnK1YMgtnKE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1" priority="3">
      <formula>SUM($D$39:$D$40)&gt;0</formula>
    </cfRule>
  </conditionalFormatting>
  <conditionalFormatting sqref="D6">
    <cfRule type="expression" dxfId="69" priority="7">
      <formula>$D$4=4</formula>
    </cfRule>
    <cfRule type="expression" dxfId="68" priority="8">
      <formula>$D$4&lt;&gt;4</formula>
    </cfRule>
  </conditionalFormatting>
  <conditionalFormatting sqref="G4">
    <cfRule type="expression" dxfId="67" priority="6">
      <formula>$D$4=4</formula>
    </cfRule>
  </conditionalFormatting>
  <conditionalFormatting sqref="I18:I19">
    <cfRule type="expression" dxfId="65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7" t="s">
        <v>567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 2 742 mm /")</f>
        <v>výška / max. 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1"/>
      <c r="H7" s="701"/>
      <c r="I7" s="701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>
        <f>+B7-2</f>
        <v>-44</v>
      </c>
      <c r="C8" s="390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389">
        <f>B8+2</f>
        <v>-42</v>
      </c>
      <c r="C9" s="382"/>
      <c r="D9" s="7"/>
      <c r="E9" s="7"/>
      <c r="F9" s="7"/>
      <c r="G9" s="4" t="str">
        <f>Faworyt!G8</f>
        <v>Maximálna hmotnosť krídla je 50 kg</v>
      </c>
      <c r="H9" s="5"/>
      <c r="L9" s="33"/>
      <c r="M9" s="32"/>
    </row>
    <row r="10" spans="1:16" ht="12.75" customHeight="1" x14ac:dyDescent="0.25">
      <c r="A10" s="154" t="str">
        <f>texty!A64</f>
        <v>Pri tejto zostave nie je možné použiť kombináciu so sklom / zrkadlom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6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400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partnerská zľava:</v>
      </c>
      <c r="H21" s="5"/>
      <c r="L21" s="5"/>
    </row>
    <row r="22" spans="1:12" ht="12.75" customHeight="1" x14ac:dyDescent="0.25">
      <c r="A22" s="123" t="str">
        <f>texty!A80</f>
        <v>Objednávacie kódy, ceny:</v>
      </c>
      <c r="B22" s="7"/>
      <c r="C22" s="7"/>
      <c r="D22" s="7"/>
      <c r="E22" s="7"/>
      <c r="F22" s="5"/>
      <c r="G22" s="593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kód</v>
      </c>
      <c r="C23" s="76" t="str">
        <f>+Faworyt!C25</f>
        <v>názov</v>
      </c>
      <c r="D23" s="76" t="str">
        <f>+Faworyt!D25</f>
        <v>ks</v>
      </c>
      <c r="E23" s="76" t="str">
        <f>+Faworyt!E25</f>
        <v>cena/ks</v>
      </c>
      <c r="F23" s="16" t="str">
        <f>+Faworyt!F25</f>
        <v>cena celkom</v>
      </c>
      <c r="G23" s="16" t="str">
        <f>+Faworyt!G25</f>
        <v>celkom netto:</v>
      </c>
      <c r="H23" s="16"/>
      <c r="I23" s="16" t="str">
        <f>texty!A29</f>
        <v>Poznámka:</v>
      </c>
      <c r="J23" s="16"/>
      <c r="L23" s="16"/>
    </row>
    <row r="24" spans="1:12" ht="12.75" customHeight="1" x14ac:dyDescent="0.25">
      <c r="A24" s="6" t="str">
        <f>+Faworyt!A26</f>
        <v>horný profil:</v>
      </c>
      <c r="B24" s="292" t="e">
        <f>+VLOOKUP(O8,data!C211:D255,2,0)</f>
        <v>#N/A</v>
      </c>
      <c r="C24" s="478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spodný profil:</v>
      </c>
      <c r="B25" s="292" t="e">
        <f>+VLOOKUP(O6,data!C4:D83,2,0)</f>
        <v>#N/A</v>
      </c>
      <c r="C25" s="48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krycí profil (maska):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horný vozík</v>
      </c>
      <c r="B27" s="66">
        <v>228023</v>
      </c>
      <c r="C27" s="480" t="str">
        <f>+VLOOKUP(B27,cennik!A:G,2,FALSE)</f>
        <v>SEVROLL 10196 Focus horný vozík 18mm 2ks</v>
      </c>
      <c r="D27" s="15">
        <f>IF((D41+D40)&gt;D4,0,D4-(D40+D41))</f>
        <v>0</v>
      </c>
      <c r="E27" s="193">
        <f>+VLOOKUP(B27,cennik!A:G,3,FALSE)</f>
        <v>3.9346299999999998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spodný vozík</v>
      </c>
      <c r="B28" s="170">
        <f>IF(F4=M63,362316,229440)</f>
        <v>229440</v>
      </c>
      <c r="C28" s="480" t="str">
        <f>+VLOOKUP(B28,cennik!A:G,2,FALSE)</f>
        <v>SEVROLL 10198 spodný vozík WD 18C HI-TEC - 2ks</v>
      </c>
      <c r="D28" s="15">
        <f>+D4</f>
        <v>0</v>
      </c>
      <c r="E28" s="193">
        <f>+VLOOKUP(B28,cennik!A:G,3,FALSE)</f>
        <v>5.2305400000000004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dorazový kartáč</v>
      </c>
      <c r="B29" s="170">
        <v>89131</v>
      </c>
      <c r="C29" s="480" t="str">
        <f>+VLOOKUP(B29,cennik!A:G,2,FALSE)</f>
        <v>SEVROLL dorazový kartáč samolepiaci 6,7x4mm</v>
      </c>
      <c r="D29" s="15">
        <f>CEILING((B4*D4*2/1000),1)</f>
        <v>0</v>
      </c>
      <c r="E29" s="193">
        <f>+VLOOKUP(B29,cennik!A:G,3,FALSE)</f>
        <v>0.20458000000000001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úchytková lišta</v>
      </c>
      <c r="B30" s="170" t="e">
        <f>+VLOOKUP(P7,data!C806:D807,2,0)</f>
        <v>#N/A</v>
      </c>
      <c r="C30" s="480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Voliteľné príslušenstvo:</v>
      </c>
      <c r="B32" s="170"/>
      <c r="C32" s="23"/>
      <c r="D32" s="372" t="str">
        <f>+Faworyt!D34</f>
        <v>zadajte počet:</v>
      </c>
      <c r="E32" s="86"/>
      <c r="F32" s="86"/>
      <c r="G32" s="87"/>
      <c r="H32" s="5"/>
      <c r="I32" s="364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pozicionér do horného vedenia</v>
      </c>
      <c r="B33" s="170">
        <v>298035</v>
      </c>
      <c r="C33" s="480" t="str">
        <f>+VLOOKUP(B33,cennik!A:G,2,FALSE)</f>
        <v>SEVROLL 20326 Fix pozicionér pre horný vozík transparentný</v>
      </c>
      <c r="D33" s="27"/>
      <c r="E33" s="193">
        <f>+VLOOKUP(B33,cennik!A:G,3,FALSE)</f>
        <v>1.0929500000000001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pozicionér </v>
      </c>
      <c r="B34" s="170">
        <f>IF(F4="Gemini",387424,89063)</f>
        <v>89063</v>
      </c>
      <c r="C34" s="480" t="str">
        <f>+VLOOKUP(B34,cennik!A:G,2,FALSE)</f>
        <v>SEVROLL 20080 pozicionér spodného vozíka HI-TEC</v>
      </c>
      <c r="D34" s="27"/>
      <c r="E34" s="193">
        <f>+VLOOKUP(B34,cennik!A:G,3,FALSE)</f>
        <v>0.31226999999999999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 Tlmič dorazu MINI do 25 kg (pár)</v>
      </c>
      <c r="B35" s="170">
        <v>318662</v>
      </c>
      <c r="C35" s="23" t="str">
        <f>+VLOOKUP(B35,cennik!A:G,2,FALSE)</f>
        <v>SEVROLL 20368-SV tlmič dorazu Mini SV25 (14-25kg)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 Tlmič dorazu MINI do 40 kg (pár)</v>
      </c>
      <c r="B36" s="66">
        <v>283956</v>
      </c>
      <c r="C36" s="23" t="str">
        <f>+VLOOKUP(B36,cennik!A:G,2,FALSE)</f>
        <v>SEVROLL 20258-SV tlmič dorazu Mini SV40 (25 - 40kg)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 Tlmič dorazu MINI do 60 kg (pár)</v>
      </c>
      <c r="B37" s="66">
        <v>351743</v>
      </c>
      <c r="C37" s="23" t="str">
        <f>+VLOOKUP(B37,cennik!A:G,2,FALSE)</f>
        <v>SEVROLL 20339-SV tlmič dorazu Mini SV60 (40 - 60kg)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 Tlmič pre stredné krídlo do 25 kg</v>
      </c>
      <c r="B38" s="66">
        <v>318663</v>
      </c>
      <c r="C38" s="23" t="str">
        <f>+VLOOKUP(B38,cennik!A:G,2,FALSE)</f>
        <v>SEVROLL 20363-SV tlmič Central 10/18mm obojstranný 25kg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 Tlmič pre stredné krídlo do 40 kg</v>
      </c>
      <c r="B39" s="66">
        <v>283955</v>
      </c>
      <c r="C39" s="23" t="str">
        <f>+VLOOKUP(B39,cennik!A:G,2,FALSE)</f>
        <v>SEVROLL 20319-SV tlmič Central 10/18mm obojstranný 25-40kg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tlmič dorazu (pár) 25 kg</v>
      </c>
      <c r="B40" s="66">
        <v>227185</v>
      </c>
      <c r="C40" s="480" t="str">
        <f>+VLOOKUP(B40,cennik!A:G,2,FALSE)</f>
        <v>K-SEVROLL tlmič dorazu 10/18mm 14-25kg L+P</v>
      </c>
      <c r="D40" s="27"/>
      <c r="E40" s="193">
        <f>+VLOOKUP(B40,cennik!A:G,3,FALSE)</f>
        <v>25.710319999999999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tlmič dorazu (pár) 50 kg</v>
      </c>
      <c r="B41" s="66">
        <v>227187</v>
      </c>
      <c r="C41" s="480" t="str">
        <f>+VLOOKUP(B41,cennik!A:G,2,FALSE)</f>
        <v>K-SEVROLL tlmič dorazu 10/18mm 25-50kg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Spona dorazovej kefky</v>
      </c>
      <c r="B42" s="170">
        <v>223569</v>
      </c>
      <c r="C42" s="480" t="str">
        <f>+VLOOKUP(B42,cennik!A:G,2,FALSE)</f>
        <v>SEVROLL 20223 spona dorazovej kefky</v>
      </c>
      <c r="D42" s="27"/>
      <c r="E42" s="193">
        <f>+VLOOKUP(B42,cennik!A:G,3,FALSE)</f>
        <v>7.8070000000000001E-2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spojovací profil H18-3metre</v>
      </c>
      <c r="B43" s="170" t="e">
        <f>+VLOOKUP(P7,data!C577:D587,2,0)</f>
        <v>#N/A</v>
      </c>
      <c r="C43" s="480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spojovací T profil - 3metre /s drážkou/</v>
      </c>
      <c r="B44" s="170" t="e">
        <f>+VLOOKUP(P7,data!C589:D598,2,0)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spojovací T profil - 3metre /s lemom/</v>
      </c>
      <c r="B45" s="170" t="e">
        <f>+VLOOKUP(P7,data!C599:D608,2,0)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 na DTD 18mm - 3 metre /hladký/</v>
      </c>
      <c r="B46" s="292" t="e">
        <f>+VLOOKUP(P7,data!C609:D619,2,0)</f>
        <v>#N/A</v>
      </c>
      <c r="C46" s="480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 na DTD 18mm - 3 metre /lem/</v>
      </c>
      <c r="B47" s="170" t="e">
        <f>+VLOOKUP(P7,data!C619:D629,2,0)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uholník mini 11x17mm - 1,7m</v>
      </c>
      <c r="B48" s="292" t="e">
        <f>+VLOOKUP(P7,data!C630:D640,2,0)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uholník mini 11x17mm - 2,35m</v>
      </c>
      <c r="B49" s="292" t="e">
        <f>+VLOOKUP(P7,data!C642:D652,2,0)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uholník mini 11x17mm - 3m</v>
      </c>
      <c r="B50" s="487" t="e">
        <f>+VLOOKUP(P7,data!C654:D664,2,0)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uholník K2 19x18mm - 1,7m</v>
      </c>
      <c r="B51" s="66" t="e">
        <f>+VLOOKUP(P7,data!C666:D675,2,0)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uholník K2 19x18mm - 2,35m</v>
      </c>
      <c r="B52" s="170" t="e">
        <f>+VLOOKUP(P7,data!C676:D685,2,0)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uholník K2 19x18mm - 3,00m</v>
      </c>
      <c r="B53" s="170" t="e">
        <f>+VLOOKUP(P7,data!C686:D695,2,0)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zámok posuvných dverí</v>
      </c>
      <c r="B54" s="66">
        <v>216363</v>
      </c>
      <c r="C54" s="480" t="str">
        <f>+VLOOKUP(B54,cennik!A:G,2,FALSE)</f>
        <v>SEVROLL 20356 zámok na posuvné dvere 10/18mm</v>
      </c>
      <c r="D54" s="27"/>
      <c r="E54" s="193">
        <f>+VLOOKUP(B54,cennik!A:G,3,FALSE)</f>
        <v>15.855560000000001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protiprachový kartáč samolepiaci</v>
      </c>
      <c r="B55" s="66">
        <v>308639</v>
      </c>
      <c r="C55" s="23" t="str">
        <f>+VLOOKUP(B55,cennik!A:G,2,FALSE)</f>
        <v>SEVROLL protiprachový kartáč samolep. 6,7x13mm</v>
      </c>
      <c r="D55" s="27"/>
      <c r="E55" s="193">
        <f>+VLOOKUP(B55,cennik!A:G,3,FALSE)</f>
        <v>0.34048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Ďalšie príslušenstvo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Technický nákres tohoto systému</v>
      </c>
      <c r="C58" s="36"/>
      <c r="D58" s="73" t="str">
        <f>+Faworyt!D61</f>
        <v>CELKOM  (bez DPH)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Vaša poznámka: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niektoré položky sa vo vybranej dĺžke nevyrábajú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 xml:space="preserve">strieborná </v>
      </c>
      <c r="M63" s="19" t="s">
        <v>968</v>
      </c>
    </row>
    <row r="64" spans="1:14" ht="12.75" hidden="1" customHeight="1" x14ac:dyDescent="0.25">
      <c r="L64" s="4" t="str">
        <f>texty!A130</f>
        <v>oliva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64" priority="3">
      <formula>SUM($D$38:$D$39)&gt;0</formula>
    </cfRule>
  </conditionalFormatting>
  <conditionalFormatting sqref="D6">
    <cfRule type="expression" dxfId="62" priority="7">
      <formula>$D$4=4</formula>
    </cfRule>
    <cfRule type="expression" dxfId="61" priority="8">
      <formula>$D$4&lt;&gt;4</formula>
    </cfRule>
  </conditionalFormatting>
  <conditionalFormatting sqref="G4">
    <cfRule type="expression" dxfId="60" priority="6">
      <formula>$D$4=4</formula>
    </cfRule>
  </conditionalFormatting>
  <conditionalFormatting sqref="I15:I16">
    <cfRule type="expression" dxfId="59" priority="4">
      <formula>$F$4=$M$64</formula>
    </cfRule>
  </conditionalFormatting>
  <conditionalFormatting sqref="I17:I18">
    <cfRule type="expression" dxfId="58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7" t="s">
        <v>731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 2 742 mm /")</f>
        <v>výška / max. 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krídlo dverí: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63" t="str">
        <f>IFERROR((B7-2),"")</f>
        <v/>
      </c>
      <c r="C8" s="390" t="str">
        <f>IFERROR((C7-7),"")</f>
        <v/>
      </c>
      <c r="D8" s="7"/>
      <c r="E8" s="7"/>
      <c r="F8" s="7"/>
      <c r="G8" s="4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dĺžka úchytkového profilu (+2 mm)</v>
      </c>
      <c r="B9" s="63" t="str">
        <f>IFERROR((B8+2),"")</f>
        <v/>
      </c>
      <c r="C9" s="392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9" t="str">
        <f>texty!A64</f>
        <v>Pri tejto zostave nie je možné použiť kombináciu so sklom / zrkadlom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7" t="str">
        <f>texty!A78</f>
        <v>dodatočné odpočty výšky vypočítaných výplní pri použití deliacich profilov výplne: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8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9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400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partnerská zľava:</v>
      </c>
      <c r="H20" s="5"/>
      <c r="L20" s="5"/>
    </row>
    <row r="21" spans="1:12" ht="12.75" customHeight="1" x14ac:dyDescent="0.25">
      <c r="A21" s="123" t="str">
        <f>texty!A80</f>
        <v>Objednávacie kódy,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kód</v>
      </c>
      <c r="C22" s="76" t="str">
        <f>+Faworyt!C25</f>
        <v>názov</v>
      </c>
      <c r="D22" s="76" t="str">
        <f>+Faworyt!D25</f>
        <v>ks</v>
      </c>
      <c r="E22" s="76" t="str">
        <f>+Faworyt!E25</f>
        <v>cena/ks</v>
      </c>
      <c r="F22" s="16" t="str">
        <f>+Faworyt!F25</f>
        <v>cena celkom</v>
      </c>
      <c r="G22" s="16" t="str">
        <f>+Faworyt!G25</f>
        <v>celkom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horný profil:</v>
      </c>
      <c r="B23" s="292" t="e">
        <f>+VLOOKUP(O8,data!C211:D230,2,0)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spodný profil:</v>
      </c>
      <c r="B24" s="292" t="e">
        <f>+VLOOKUP(O6,data!C4:D83,2,0)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krycí profil (maska):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horný vozík</v>
      </c>
      <c r="B26" s="66">
        <v>228023</v>
      </c>
      <c r="C26" s="480" t="str">
        <f>+VLOOKUP(B26,cennik!A:G,2,FALSE)</f>
        <v>SEVROLL 10196 Focus horný vozík 18mm 2ks</v>
      </c>
      <c r="D26" s="15">
        <f>IF((D40+D39)&gt;D4,0,D4-(D39+D40))</f>
        <v>0</v>
      </c>
      <c r="E26" s="193">
        <f>+VLOOKUP(B26,cennik!A:G,3,FALSE)</f>
        <v>3.9346299999999998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spodný vozík</v>
      </c>
      <c r="B27" s="170">
        <f>IF(F4=M62,362316,229440)</f>
        <v>229440</v>
      </c>
      <c r="C27" s="480" t="str">
        <f>+VLOOKUP(B27,cennik!A:G,2,FALSE)</f>
        <v>SEVROLL 10198 spodný vozík WD 18C HI-TEC - 2ks</v>
      </c>
      <c r="D27" s="15">
        <f>+D4</f>
        <v>0</v>
      </c>
      <c r="E27" s="193">
        <f>+VLOOKUP(B27,cennik!A:G,3,FALSE)</f>
        <v>5.2305400000000004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dorazový kartáč</v>
      </c>
      <c r="B28" s="170">
        <v>229433</v>
      </c>
      <c r="C28" s="480" t="str">
        <f>+VLOOKUP(B28,cennik!A:G,2,FALSE)</f>
        <v>SEVROLL dorazová kefa zásuvná 4,8x4mm sivá</v>
      </c>
      <c r="D28" s="15">
        <f>CEILING((B4*D4*2/1000),1)</f>
        <v>0</v>
      </c>
      <c r="E28" s="193">
        <f>+VLOOKUP(B28,cennik!A:G,3,FALSE)</f>
        <v>0.13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úchytková lišta</v>
      </c>
      <c r="B29" s="170">
        <v>233428</v>
      </c>
      <c r="C29" s="480" t="str">
        <f>+VLOOKUP(B29,cennik!A:G,2,FALSE)</f>
        <v>Sevroll 85003 Fiona II úchytová lišta 2,7m strieborná</v>
      </c>
      <c r="D29" s="15">
        <f>IF(B9&lt;=1285,D4*2/2,D4*2)</f>
        <v>0</v>
      </c>
      <c r="E29" s="193">
        <f>+VLOOKUP(B29,cennik!A:G,3,FALSE)</f>
        <v>13.089370000000001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Voliteľné príslušenstvo:</v>
      </c>
      <c r="B31" s="170"/>
      <c r="C31" s="23"/>
      <c r="D31" s="372" t="str">
        <f>+Faworyt!D34</f>
        <v>zadajte počet:</v>
      </c>
      <c r="E31" s="86"/>
      <c r="F31" s="86"/>
      <c r="G31" s="87"/>
      <c r="H31" s="5"/>
      <c r="I31" s="364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pozicionér do horného vedenia</v>
      </c>
      <c r="B32" s="170">
        <v>298035</v>
      </c>
      <c r="C32" s="480" t="str">
        <f>+VLOOKUP(B32,cennik!A:G,2,FALSE)</f>
        <v>SEVROLL 20326 Fix pozicionér pre horný vozík transparentný</v>
      </c>
      <c r="D32" s="27"/>
      <c r="E32" s="193">
        <f>+VLOOKUP(B32,cennik!A:G,3,FALSE)</f>
        <v>1.0929500000000001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pozicionér </v>
      </c>
      <c r="B33" s="170">
        <f>IF(F4="Gemini",387424,89063)</f>
        <v>89063</v>
      </c>
      <c r="C33" s="480" t="str">
        <f>+VLOOKUP(B33,cennik!A:G,2,FALSE)</f>
        <v>SEVROLL 20080 pozicionér spodného vozíka HI-TEC</v>
      </c>
      <c r="D33" s="27"/>
      <c r="E33" s="193">
        <f>+VLOOKUP(B33,cennik!A:G,3,FALSE)</f>
        <v>0.31226999999999999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 Tlmič dorazu MINI do 25 kg (pár)</v>
      </c>
      <c r="B34" s="170">
        <v>318662</v>
      </c>
      <c r="C34" s="23" t="str">
        <f>+VLOOKUP(B34,cennik!A:G,2,FALSE)</f>
        <v>SEVROLL 20368-SV tlmič dorazu Mini SV25 (14-25kg)</v>
      </c>
      <c r="D34" s="278"/>
      <c r="E34" s="86">
        <f>+VLOOKUP(B34,cennik!A:G,3,FALSE)</f>
        <v>22.951930000000001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 Tlmič dorazu MINI do 40 kg (pár)</v>
      </c>
      <c r="B35" s="66">
        <v>283956</v>
      </c>
      <c r="C35" s="23" t="str">
        <f>+VLOOKUP(B35,cennik!A:G,2,FALSE)</f>
        <v>SEVROLL 20258-SV tlmič dorazu Mini SV40 (25 - 40kg)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 Tlmič dorazu MINI do 60 kg (pár)</v>
      </c>
      <c r="B36" s="66">
        <v>351743</v>
      </c>
      <c r="C36" s="23" t="str">
        <f>+VLOOKUP(B36,cennik!A:G,2,FALSE)</f>
        <v>SEVROLL 20339-SV tlmič dorazu Mini SV60 (40 - 60kg)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 Tlmič pre stredné krídlo do 25 kg</v>
      </c>
      <c r="B37" s="66">
        <v>318663</v>
      </c>
      <c r="C37" s="23" t="str">
        <f>+VLOOKUP(B37,cennik!A:G,2,FALSE)</f>
        <v>SEVROLL 20363-SV tlmič Central 10/18mm obojstranný 25kg</v>
      </c>
      <c r="D37" s="278"/>
      <c r="E37" s="86">
        <f>+VLOOKUP(B37,cennik!A:G,3,FALSE)</f>
        <v>49.156689999999998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 Tlmič pre stredné krídlo do 40 kg</v>
      </c>
      <c r="B38" s="66">
        <v>283955</v>
      </c>
      <c r="C38" s="23" t="str">
        <f>+VLOOKUP(B38,cennik!A:G,2,FALSE)</f>
        <v>SEVROLL 20319-SV tlmič Central 10/18mm obojstranný 25-40kg</v>
      </c>
      <c r="D38" s="278"/>
      <c r="E38" s="86">
        <f>+VLOOKUP(B38,cennik!A:G,3,FALSE)</f>
        <v>49.156689999999998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tlmič dorazu (pár) 25 kg</v>
      </c>
      <c r="B39" s="66">
        <v>227185</v>
      </c>
      <c r="C39" s="480" t="str">
        <f>+VLOOKUP(B39,cennik!A:G,2,FALSE)</f>
        <v>K-SEVROLL tlmič dorazu 10/18mm 14-25kg L+P</v>
      </c>
      <c r="D39" s="27"/>
      <c r="E39" s="193">
        <f>+VLOOKUP(B39,cennik!A:G,3,FALSE)</f>
        <v>25.710319999999999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tlmič dorazu (pár) 50 kg</v>
      </c>
      <c r="B40" s="66">
        <v>227187</v>
      </c>
      <c r="C40" s="480" t="str">
        <f>+VLOOKUP(B40,cennik!A:G,2,FALSE)</f>
        <v>K-SEVROLL tlmič dorazu 10/18mm 25-50kg L+P</v>
      </c>
      <c r="D40" s="27"/>
      <c r="E40" s="193">
        <f>+VLOOKUP(B40,cennik!A:G,3,FALSE)</f>
        <v>25.710319999999999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Spona dorazovej kefky</v>
      </c>
      <c r="B41" s="170">
        <v>223569</v>
      </c>
      <c r="C41" s="480" t="str">
        <f>+VLOOKUP(B41,cennik!A:G,2,FALSE)</f>
        <v>SEVROLL 20223 spona dorazovej kefky</v>
      </c>
      <c r="D41" s="27"/>
      <c r="E41" s="193">
        <f>+VLOOKUP(B41,cennik!A:G,3,FALSE)</f>
        <v>7.8070000000000001E-2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spojovací profil H18-3metre</v>
      </c>
      <c r="B42" s="170" t="e">
        <f>+VLOOKUP(P7,data!C577:D587,2,0)</f>
        <v>#N/A</v>
      </c>
      <c r="C42" s="480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spojovací T profil - 3metre /s drážkou/</v>
      </c>
      <c r="B43" s="170" t="e">
        <f>+VLOOKUP(P7,data!C589:D598,2,0)</f>
        <v>#N/A</v>
      </c>
      <c r="C43" s="480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spojovací T profil - 3metre /s lemom/</v>
      </c>
      <c r="B44" s="170" t="e">
        <f>+VLOOKUP(P7,data!C599:D608,2,0)</f>
        <v>#N/A</v>
      </c>
      <c r="C44" s="480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 na DTD 18mm - 3 metre /hladký/</v>
      </c>
      <c r="B45" s="292" t="e">
        <f>+VLOOKUP(P7,data!C609:D619,2,0)</f>
        <v>#N/A</v>
      </c>
      <c r="C45" s="480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 na DTD 18mm - 3 metre /lem/</v>
      </c>
      <c r="B46" s="170" t="e">
        <f>+VLOOKUP(P7,data!C619:D629,2,0)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uholník mini 11x17mm - 1,7m</v>
      </c>
      <c r="B47" s="292" t="e">
        <f>+VLOOKUP(P7,data!C630:D640,2,0)</f>
        <v>#N/A</v>
      </c>
      <c r="C47" s="480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uholník mini 11x17mm - 2,35m</v>
      </c>
      <c r="B48" s="292" t="e">
        <f>+VLOOKUP(P7,data!C642:D652,2,0)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uholník mini 11x17mm - 3m</v>
      </c>
      <c r="B49" s="487" t="e">
        <f>+VLOOKUP(P7,data!C654:D664,2,0)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uholník K2 19x18mm - 1,7m</v>
      </c>
      <c r="B50" s="66" t="e">
        <f>+VLOOKUP(P7,data!C666:D675,2,0)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uholník K2 19x18mm - 2,35m</v>
      </c>
      <c r="B51" s="170" t="e">
        <f>+VLOOKUP(P7,data!C676:D685,2,0)</f>
        <v>#N/A</v>
      </c>
      <c r="C51" s="480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uholník K2 19x18mm - 3,00m</v>
      </c>
      <c r="B52" s="170" t="e">
        <f>+VLOOKUP(P7,data!C686:D695,2,0)</f>
        <v>#N/A</v>
      </c>
      <c r="C52" s="480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zámok posuvných dverí</v>
      </c>
      <c r="B53" s="66">
        <v>216363</v>
      </c>
      <c r="C53" s="480" t="str">
        <f>+VLOOKUP(B53,cennik!A:G,2,FALSE)</f>
        <v>SEVROLL 20356 zámok na posuvné dvere 10/18mm</v>
      </c>
      <c r="D53" s="27"/>
      <c r="E53" s="193">
        <f>+VLOOKUP(B53,cennik!A:G,3,FALSE)</f>
        <v>15.855560000000001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protiprachový kartáč samolepiaci</v>
      </c>
      <c r="B54" s="66">
        <v>308639</v>
      </c>
      <c r="C54" s="23" t="str">
        <f>+VLOOKUP(B54,cennik!A:G,2,FALSE)</f>
        <v>SEVROLL protiprachový kartáč samolep. 6,7x13mm</v>
      </c>
      <c r="D54" s="27"/>
      <c r="E54" s="193">
        <f>+VLOOKUP(B54,cennik!A:G,3,FALSE)</f>
        <v>0.34048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Ďalšie príslušenstvo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Technický nákres tohoto systému</v>
      </c>
      <c r="C57" s="36"/>
      <c r="D57" s="73" t="str">
        <f>+Faworyt!D61</f>
        <v>CELKOM  (bez DPH)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Vaša poznámka: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niektoré položky sa vo vybranej dĺžke nevyrábajú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 xml:space="preserve">strieborná 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7" priority="3">
      <formula>SUM($D$37:$D$38)&gt;0</formula>
    </cfRule>
  </conditionalFormatting>
  <conditionalFormatting sqref="D6">
    <cfRule type="expression" dxfId="55" priority="7">
      <formula>$D$4=4</formula>
    </cfRule>
    <cfRule type="expression" dxfId="54" priority="8">
      <formula>$D$4&lt;&gt;4</formula>
    </cfRule>
  </conditionalFormatting>
  <conditionalFormatting sqref="G4">
    <cfRule type="expression" dxfId="53" priority="6">
      <formula>$D$4=4</formula>
    </cfRule>
  </conditionalFormatting>
  <conditionalFormatting sqref="I14">
    <cfRule type="expression" dxfId="52" priority="5">
      <formula>$F$4=$M$63</formula>
    </cfRule>
  </conditionalFormatting>
  <conditionalFormatting sqref="I16:I17">
    <cfRule type="expression" dxfId="51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7" t="s">
        <v>79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",7,".",41)</f>
        <v>Katalóg Kovania 2024 str. 7.41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318" t="str">
        <f>texty!A38</f>
        <v>typ spodného vedenia</v>
      </c>
      <c r="G3" s="5"/>
      <c r="H3" s="5"/>
      <c r="L3" s="5"/>
    </row>
    <row r="4" spans="1:16" ht="18" customHeight="1" x14ac:dyDescent="0.25">
      <c r="A4" s="9" t="str">
        <f>texty!A70</f>
        <v>VNÚTORNÝ ROZMER SKRINE:</v>
      </c>
      <c r="B4" s="52"/>
      <c r="C4" s="52"/>
      <c r="D4" s="20"/>
      <c r="E4" s="20"/>
      <c r="F4" s="353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texty!A45</f>
        <v>vypíšte týchto 5 políčok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dĺžka úchytkového profilu (+2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Max. veľkosť krídla so zrkadlom je 2400x700mm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10" t="str">
        <f>texty!A78</f>
        <v>dodatočné odpočty výšky vypočítaných výplní pri použití deliacich profilov výplne:</v>
      </c>
      <c r="D13" s="7"/>
      <c r="G13" s="5"/>
      <c r="L13" s="31"/>
    </row>
    <row r="14" spans="1:16" ht="32.25" customHeight="1" x14ac:dyDescent="0.25">
      <c r="A14" s="685"/>
      <c r="B14" s="685"/>
      <c r="C14" s="393"/>
      <c r="D14" s="7"/>
      <c r="G14" s="5"/>
      <c r="L14" s="31"/>
    </row>
    <row r="15" spans="1:16" ht="13.2" x14ac:dyDescent="0.25">
      <c r="A15" s="6"/>
      <c r="B15" s="54"/>
      <c r="C15" s="393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8" t="s">
        <v>992</v>
      </c>
      <c r="B21" s="397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partnerská zľava:</v>
      </c>
      <c r="H22" s="5"/>
      <c r="L22" s="5"/>
    </row>
    <row r="23" spans="1:12" ht="12.75" customHeight="1" x14ac:dyDescent="0.25">
      <c r="A23" s="12" t="str">
        <f>texty!A80</f>
        <v>Objednávacie kódy, ceny:</v>
      </c>
      <c r="B23" s="7"/>
      <c r="C23" s="7"/>
      <c r="D23" s="7"/>
      <c r="E23" s="7"/>
      <c r="F23" s="5"/>
      <c r="G23" s="593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kód</v>
      </c>
      <c r="C24" s="76" t="str">
        <f>+System10!C27</f>
        <v>názov</v>
      </c>
      <c r="D24" s="76" t="str">
        <f>+System10!D27</f>
        <v>ks</v>
      </c>
      <c r="E24" s="76" t="str">
        <f>+System10!E27</f>
        <v>cena/ks</v>
      </c>
      <c r="F24" s="16" t="str">
        <f>+System10!F27</f>
        <v>cena celkom</v>
      </c>
      <c r="G24" s="16" t="str">
        <f>+System10!G27</f>
        <v>celkom netto:</v>
      </c>
      <c r="H24" s="16"/>
      <c r="I24" s="16" t="str">
        <f>texty!A29</f>
        <v>Poznámka:</v>
      </c>
      <c r="J24" s="16"/>
      <c r="L24" s="16"/>
    </row>
    <row r="25" spans="1:12" ht="12.75" customHeight="1" x14ac:dyDescent="0.25">
      <c r="A25" s="6" t="str">
        <f>+Faworyt!A26</f>
        <v>horný profil:</v>
      </c>
      <c r="B25" s="292" t="e">
        <f>+VLOOKUP(O8,data!C211:D230,2,0)</f>
        <v>#N/A</v>
      </c>
      <c r="C25" s="470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spodný profil:</v>
      </c>
      <c r="B26" s="292" t="e">
        <f>+VLOOKUP(O6,data!C4:D83,2,0)</f>
        <v>#N/A</v>
      </c>
      <c r="C26" s="470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krycí profil (maska):</v>
      </c>
      <c r="B27" s="292" t="e">
        <f>+VLOOKUP(O6,data!C115:D210,2,0)</f>
        <v>#N/A</v>
      </c>
      <c r="C27" s="472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horný vozík</v>
      </c>
      <c r="B28" s="66">
        <v>228023</v>
      </c>
      <c r="C28" s="470" t="str">
        <f>+VLOOKUP(B28,cennik!A:G,2,FALSE)</f>
        <v>SEVROLL 10196 Focus horný vozík 18mm 2ks</v>
      </c>
      <c r="D28" s="15">
        <f>IF((D42+D41)&gt;D4,0,D4-(D41+D42))</f>
        <v>0</v>
      </c>
      <c r="E28" s="193">
        <f>+VLOOKUP(B28,cennik!A:G,3,FALSE)</f>
        <v>3.9346299999999998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spodný vozík</v>
      </c>
      <c r="B29" s="170">
        <f>IF(F4=M62,362316,229440)</f>
        <v>229440</v>
      </c>
      <c r="C29" s="470" t="str">
        <f>+VLOOKUP(B29,cennik!A:G,2,FALSE)</f>
        <v>SEVROLL 10198 spodný vozík WD 18C HI-TEC - 2ks</v>
      </c>
      <c r="D29" s="15">
        <f>+D4</f>
        <v>0</v>
      </c>
      <c r="E29" s="193">
        <f>+VLOOKUP(B29,cennik!A:G,3,FALSE)</f>
        <v>5.2305400000000004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dorazový kartáč</v>
      </c>
      <c r="B30" s="170">
        <v>229433</v>
      </c>
      <c r="C30" s="470" t="str">
        <f>+VLOOKUP(B30,cennik!A:G,2,FALSE)</f>
        <v>SEVROLL dorazová kefa zásuvná 4,8x4mm sivá</v>
      </c>
      <c r="D30" s="15">
        <f>CEILING((B4*D4*2/1000),1)</f>
        <v>0</v>
      </c>
      <c r="E30" s="193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úchytková lišta</v>
      </c>
      <c r="B31" s="170" t="e">
        <f>+VLOOKUP(P7,data!C735:D736,2,0)</f>
        <v>#N/A</v>
      </c>
      <c r="C31" s="470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72"/>
      <c r="D32" s="15"/>
      <c r="E32" s="86"/>
      <c r="F32" s="86"/>
      <c r="G32" s="87"/>
      <c r="H32" s="5"/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Voliteľné príslušenstvo:</v>
      </c>
      <c r="B33" s="114"/>
      <c r="C33" s="488"/>
      <c r="D33" s="371" t="str">
        <f>Faworyt!D34</f>
        <v>zadajte počet:</v>
      </c>
      <c r="E33" s="124"/>
      <c r="F33" s="124"/>
      <c r="G33" s="125"/>
      <c r="H33" s="119"/>
      <c r="I33" s="364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pozicionér do horného vedenia</v>
      </c>
      <c r="B34" s="170">
        <v>298035</v>
      </c>
      <c r="C34" s="47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pozicionér </v>
      </c>
      <c r="B35" s="170">
        <f>IF(F4="Gemini",387424,89063)</f>
        <v>89063</v>
      </c>
      <c r="C35" s="47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 Tlmič dorazu MINI do 25 kg (pár)</v>
      </c>
      <c r="B36" s="170">
        <v>318662</v>
      </c>
      <c r="C36" s="472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 Tlmič dorazu MINI do 40 kg (pár)</v>
      </c>
      <c r="B37" s="66">
        <v>283956</v>
      </c>
      <c r="C37" s="472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 Tlmič dorazu MINI do 60 kg (pár)</v>
      </c>
      <c r="B38" s="66">
        <v>351743</v>
      </c>
      <c r="C38" s="472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 Tlmič pre stredné krídlo do 25 kg</v>
      </c>
      <c r="B39" s="66">
        <v>318663</v>
      </c>
      <c r="C39" s="472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 Tlmič pre stredné krídlo do 40 kg</v>
      </c>
      <c r="B40" s="66">
        <v>283955</v>
      </c>
      <c r="C40" s="472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tlmič dorazu (pár) 25 kg</v>
      </c>
      <c r="B41" s="66">
        <v>227185</v>
      </c>
      <c r="C41" s="47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tlmič dorazu (pár) 50 kg</v>
      </c>
      <c r="B42" s="66">
        <v>227187</v>
      </c>
      <c r="C42" s="47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Spona dorazovej kefky</v>
      </c>
      <c r="B43" s="170">
        <v>223569</v>
      </c>
      <c r="C43" s="47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spojovací profil H18-3metre</v>
      </c>
      <c r="B44" s="170" t="e">
        <f>+VLOOKUP(P7,data!C577:D587,2,0)</f>
        <v>#N/A</v>
      </c>
      <c r="C44" s="47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spojovací T profil - 3metre /s drážkou/</v>
      </c>
      <c r="B45" s="170" t="e">
        <f>+VLOOKUP(P7,data!C589:D598,2,0)</f>
        <v>#N/A</v>
      </c>
      <c r="C45" s="47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spojovací T profil - 3metre /s lemom/</v>
      </c>
      <c r="B46" s="170" t="e">
        <f>+VLOOKUP(P7,data!C599:D608,2,0)</f>
        <v>#N/A</v>
      </c>
      <c r="C46" s="47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 na DTD 18mm - 3 metre /hladký/</v>
      </c>
      <c r="B47" s="292" t="e">
        <f>+VLOOKUP(P7,data!C609:D619,2,0)</f>
        <v>#N/A</v>
      </c>
      <c r="C47" s="47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 na DTD 18mm - 3 metre /lem/</v>
      </c>
      <c r="B48" s="170" t="e">
        <f>+VLOOKUP(P7,data!C619:D629,2,0)</f>
        <v>#N/A</v>
      </c>
      <c r="C48" s="47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uholník mini 11x17mm - 1,7m</v>
      </c>
      <c r="B49" s="292" t="e">
        <f>+VLOOKUP(P7,data!C630:D640,2,0)</f>
        <v>#N/A</v>
      </c>
      <c r="C49" s="47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uholník mini 11x17mm - 2,35m</v>
      </c>
      <c r="B50" s="292" t="e">
        <f>+VLOOKUP(P7,data!C642:D652,2,0)</f>
        <v>#N/A</v>
      </c>
      <c r="C50" s="47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uholník mini 11x17mm - 3m</v>
      </c>
      <c r="B51" s="487" t="e">
        <f>+VLOOKUP(P7,data!C654:D664,2,0)</f>
        <v>#N/A</v>
      </c>
      <c r="C51" s="47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uholník K2 19x18mm - 1,7m</v>
      </c>
      <c r="B52" s="66" t="e">
        <f>+VLOOKUP(P7,data!C666:D675,2,0)</f>
        <v>#N/A</v>
      </c>
      <c r="C52" s="47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uholník K2 19x18mm - 2,35m</v>
      </c>
      <c r="B53" s="170" t="e">
        <f>+VLOOKUP(P7,data!C676:D685,2,0)</f>
        <v>#N/A</v>
      </c>
      <c r="C53" s="47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uholník K2 19x18mm - 3,00m</v>
      </c>
      <c r="B54" s="170" t="e">
        <f>+VLOOKUP(P7,data!C686:D695,2,0)</f>
        <v>#N/A</v>
      </c>
      <c r="C54" s="47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170">
        <v>308631</v>
      </c>
      <c r="C55" s="470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zámok posuvných dverí</v>
      </c>
      <c r="B56" s="66">
        <v>216363</v>
      </c>
      <c r="C56" s="470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protiprachový kartáč samolepiaci</v>
      </c>
      <c r="B57" s="66">
        <v>308639</v>
      </c>
      <c r="C57" s="472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Technický nákres tohoto systému</v>
      </c>
      <c r="B60" s="15"/>
      <c r="C60" s="23"/>
      <c r="D60" s="71" t="str">
        <f>Faworyt!D61</f>
        <v>CELKOM  (bez DPH)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Vaša poznámka: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 xml:space="preserve">strieborná </v>
      </c>
      <c r="M62" s="19" t="s">
        <v>968</v>
      </c>
    </row>
    <row r="63" spans="1:14" ht="12.75" customHeight="1" x14ac:dyDescent="0.25">
      <c r="A63" s="695" t="str">
        <f>IF(N63=1,texty!A215,IF(J63&gt;0,texty!A214,""))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oliva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50" priority="3">
      <formula>SUM($D$39:$D$40)&gt;0</formula>
    </cfRule>
  </conditionalFormatting>
  <conditionalFormatting sqref="D6">
    <cfRule type="expression" dxfId="48" priority="9">
      <formula>$D$4=4</formula>
    </cfRule>
    <cfRule type="expression" dxfId="47" priority="10">
      <formula>$D$4&lt;&gt;4</formula>
    </cfRule>
  </conditionalFormatting>
  <conditionalFormatting sqref="G4">
    <cfRule type="expression" dxfId="46" priority="8">
      <formula>$D$4=4</formula>
    </cfRule>
  </conditionalFormatting>
  <conditionalFormatting sqref="I16:I17">
    <cfRule type="expression" dxfId="45" priority="4">
      <formula>$F$4=$M$63</formula>
    </cfRule>
  </conditionalFormatting>
  <conditionalFormatting sqref="I18:I19">
    <cfRule type="expression" dxfId="44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25">
    <pageSetUpPr fitToPage="1"/>
  </sheetPr>
  <dimension ref="A1:Q72"/>
  <sheetViews>
    <sheetView showGridLines="0" topLeftCell="A27" zoomScaleNormal="100" workbookViewId="0">
      <selection activeCell="C42" sqref="C4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</v>
      </c>
    </row>
    <row r="2" spans="1:16" ht="18.75" customHeight="1" x14ac:dyDescent="0.25">
      <c r="A2" s="407" t="s">
        <v>590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7" t="str">
        <f>CONCATENATE(texty!A243," ",7,".",50)</f>
        <v>Katalóg Kovania 2024 str. 7.50</v>
      </c>
      <c r="B3" s="318" t="str">
        <f>CONCATENATE(texty!A34," / max.         2 742 mm /")</f>
        <v>výška / max.         2 742 mm /</v>
      </c>
      <c r="C3" s="319" t="str">
        <f>CONCATENATE(texty!A35," / max 3 600 mm /")</f>
        <v>šírka / max 3 600 mm /</v>
      </c>
      <c r="D3" s="471" t="str">
        <f>texty!A36</f>
        <v>počet dverí</v>
      </c>
      <c r="E3" s="8" t="str">
        <f>texty!A37</f>
        <v>farba</v>
      </c>
      <c r="F3" s="7"/>
      <c r="G3" s="5"/>
      <c r="H3" s="5"/>
      <c r="L3" s="5"/>
    </row>
    <row r="4" spans="1:16" ht="18" customHeight="1" x14ac:dyDescent="0.25">
      <c r="A4" s="9" t="str">
        <f>+System10!A4</f>
        <v>VNÚTORNÝ ROZMER SKRINE:</v>
      </c>
      <c r="B4" s="410"/>
      <c r="C4" s="411"/>
      <c r="D4" s="412"/>
      <c r="E4" s="412"/>
      <c r="F4" s="7"/>
      <c r="G4" s="701"/>
      <c r="H4" s="701"/>
      <c r="I4" s="701"/>
      <c r="K4" s="173"/>
      <c r="L4" s="7"/>
    </row>
    <row r="5" spans="1:16" ht="18" customHeight="1" x14ac:dyDescent="0.25">
      <c r="A5" s="9"/>
      <c r="B5" s="713" t="str">
        <f>texty!A46</f>
        <v>vypíšte tieto 4 políčka !!! Údaje v mm</v>
      </c>
      <c r="C5" s="713"/>
      <c r="D5" s="713"/>
      <c r="E5" s="713"/>
      <c r="F5" s="365"/>
      <c r="G5" s="701"/>
      <c r="H5" s="701"/>
      <c r="I5" s="701"/>
      <c r="K5" s="173"/>
      <c r="L5" s="3"/>
      <c r="M5" s="15"/>
      <c r="N5" s="19"/>
      <c r="O5" s="15"/>
    </row>
    <row r="6" spans="1:16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N6" s="19"/>
      <c r="O6" s="21"/>
    </row>
    <row r="7" spans="1:16" ht="12.75" customHeight="1" x14ac:dyDescent="0.25">
      <c r="A7" s="9" t="str">
        <f>texty!A47</f>
        <v>krídlo dverí:</v>
      </c>
      <c r="B7" s="53" t="str">
        <f>IF(B4&gt;0,B4-42,"")</f>
        <v/>
      </c>
      <c r="C7" s="55" t="str">
        <f>IFERROR((((C4+28*(D4-1))/D4+IF(AND(D4=4,D6=2),M1,0))),"")</f>
        <v/>
      </c>
      <c r="D7" s="7"/>
      <c r="E7" s="7"/>
      <c r="F7" s="7"/>
      <c r="G7" s="46"/>
      <c r="H7" s="5"/>
      <c r="L7" s="5"/>
      <c r="N7" s="15">
        <f>IF(C4&lt;1801,1800,IF(C4&lt;2701,2700,IF(C4&lt;3601,3600,texty!A178)))</f>
        <v>1800</v>
      </c>
      <c r="O7" s="19">
        <f>+E4</f>
        <v>0</v>
      </c>
      <c r="P7" s="19"/>
    </row>
    <row r="8" spans="1:16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IFERROR((C7-30),"")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N8" s="21" t="str">
        <f>CONCATENATE(N7,"-",E4)</f>
        <v>1800-</v>
      </c>
      <c r="O8" s="19"/>
      <c r="P8" s="19"/>
    </row>
    <row r="9" spans="1:16" ht="12.75" customHeight="1" x14ac:dyDescent="0.25">
      <c r="A9" s="9" t="str">
        <f>texty!A51</f>
        <v>dĺžka úchytkového profilu (+2 mm)</v>
      </c>
      <c r="B9" s="63" t="str">
        <f>IFERROR((B8+2),"")</f>
        <v/>
      </c>
      <c r="C9" s="129"/>
      <c r="D9" s="7"/>
      <c r="E9" s="7"/>
      <c r="F9" s="7"/>
      <c r="G9" s="3"/>
      <c r="H9" s="5"/>
      <c r="L9" s="32"/>
      <c r="O9" s="21"/>
      <c r="P9" s="19"/>
    </row>
    <row r="10" spans="1:16" ht="12.75" customHeight="1" x14ac:dyDescent="0.25">
      <c r="A10" s="154" t="str">
        <f>texty!A64</f>
        <v>Pri tejto zostave nie je možné použiť kombináciu so sklom / zrkadlom</v>
      </c>
      <c r="B10" s="60"/>
      <c r="C10" s="80"/>
      <c r="D10" s="7"/>
      <c r="H10" s="5"/>
      <c r="L10" s="5"/>
    </row>
    <row r="11" spans="1:16" ht="26.4" x14ac:dyDescent="0.25">
      <c r="A11" s="685" t="str">
        <f>IF(SUM(D36:D37)&gt;0,texty!A246,"")</f>
        <v/>
      </c>
      <c r="B11" s="685"/>
      <c r="C11" s="610" t="str">
        <f>texty!A78</f>
        <v>dodatočné odpočty výšky vypočítaných výplní pri použití deliacich profilov výplne:</v>
      </c>
      <c r="D11" s="7"/>
      <c r="G11" s="5"/>
      <c r="L11" s="31"/>
    </row>
    <row r="12" spans="1:16" ht="37.5" customHeight="1" x14ac:dyDescent="0.25">
      <c r="A12" s="685"/>
      <c r="B12" s="685"/>
      <c r="C12" s="393"/>
      <c r="D12" s="7"/>
      <c r="G12" s="5"/>
      <c r="L12" s="31"/>
    </row>
    <row r="13" spans="1:16" ht="13.2" x14ac:dyDescent="0.25">
      <c r="A13" s="6"/>
      <c r="B13" s="54"/>
      <c r="C13" s="393"/>
      <c r="D13" s="7"/>
      <c r="G13" s="5"/>
      <c r="L13" s="31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H16" s="5"/>
      <c r="L16" s="5"/>
    </row>
    <row r="17" spans="1:12" ht="14.25" customHeight="1" x14ac:dyDescent="0.25">
      <c r="A17" s="9"/>
      <c r="B17" s="7"/>
      <c r="C17" s="25"/>
      <c r="D17" s="7"/>
      <c r="E17" s="7"/>
      <c r="F17" s="7"/>
      <c r="G17" s="5"/>
      <c r="H17" s="5"/>
      <c r="L17" s="5"/>
    </row>
    <row r="18" spans="1:12" ht="16.5" customHeight="1" x14ac:dyDescent="0.25">
      <c r="B18" s="7"/>
      <c r="C18" s="7"/>
      <c r="E18" s="7"/>
      <c r="F18" s="7"/>
      <c r="G18" s="5"/>
      <c r="H18" s="5"/>
      <c r="L18" s="5"/>
    </row>
    <row r="19" spans="1:12" ht="16.5" customHeight="1" x14ac:dyDescent="0.25">
      <c r="A19" s="399" t="s">
        <v>1000</v>
      </c>
      <c r="B19" s="7"/>
      <c r="C19" s="7"/>
      <c r="D19" s="11"/>
      <c r="E19" s="7"/>
      <c r="F19" s="7"/>
      <c r="G19" s="5"/>
      <c r="H19" s="5"/>
      <c r="L19" s="5"/>
    </row>
    <row r="20" spans="1:12" ht="12.75" customHeight="1" x14ac:dyDescent="0.25">
      <c r="A20" s="6"/>
      <c r="B20" s="7"/>
      <c r="C20" s="7"/>
      <c r="D20" s="7"/>
      <c r="E20" s="7"/>
      <c r="F20" s="5"/>
      <c r="G20" s="126" t="str">
        <f>+System10!G25</f>
        <v>partnerská zľava:</v>
      </c>
      <c r="H20" s="5"/>
      <c r="L20" s="5"/>
    </row>
    <row r="21" spans="1:12" ht="12.75" customHeight="1" x14ac:dyDescent="0.25">
      <c r="A21" s="12" t="str">
        <f>texty!A80</f>
        <v>Objednávacie kódy, ceny:</v>
      </c>
      <c r="B21" s="7"/>
      <c r="C21" s="7"/>
      <c r="D21" s="7"/>
      <c r="E21" s="7"/>
      <c r="F21" s="5"/>
      <c r="G21" s="593">
        <f>profil!C15</f>
        <v>0</v>
      </c>
      <c r="H21" s="5" t="s">
        <v>55</v>
      </c>
      <c r="L21" s="5"/>
    </row>
    <row r="22" spans="1:12" s="77" customFormat="1" ht="12.75" customHeight="1" x14ac:dyDescent="0.25">
      <c r="B22" s="76" t="str">
        <f>texty!A276</f>
        <v>kód</v>
      </c>
      <c r="C22" s="76" t="str">
        <f>+System10!C27</f>
        <v>názov</v>
      </c>
      <c r="D22" s="76" t="str">
        <f>+System10!D27</f>
        <v>ks</v>
      </c>
      <c r="E22" s="76" t="str">
        <f>+System10!E27</f>
        <v>cena/ks</v>
      </c>
      <c r="F22" s="16" t="str">
        <f>+System10!F27</f>
        <v>cena celkom</v>
      </c>
      <c r="G22" s="16" t="str">
        <f>+System10!G27</f>
        <v>celkom netto:</v>
      </c>
      <c r="H22" s="16"/>
      <c r="I22" s="16" t="str">
        <f>texty!A29</f>
        <v>Poznámka:</v>
      </c>
      <c r="J22" s="16"/>
      <c r="L22" s="16"/>
    </row>
    <row r="23" spans="1:12" ht="12.75" customHeight="1" x14ac:dyDescent="0.25">
      <c r="A23" s="6" t="str">
        <f>+Faworyt!A26</f>
        <v>horný profil:</v>
      </c>
      <c r="B23" s="292" t="e">
        <f>+VLOOKUP(N8,data!C822:D824,2,0)</f>
        <v>#N/A</v>
      </c>
      <c r="C23" s="480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8" si="0">+E23*D23</f>
        <v>#N/A</v>
      </c>
      <c r="G23" s="87" t="e">
        <f>+F23*(100-G21)/100</f>
        <v>#N/A</v>
      </c>
      <c r="H23" s="5" t="str">
        <f>cennik!B2</f>
        <v>EUR</v>
      </c>
      <c r="I23" s="364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spodný profil:</v>
      </c>
      <c r="B24" s="292" t="e">
        <f>+VLOOKUP(N8,data!C825:D827,2,0)</f>
        <v>#N/A</v>
      </c>
      <c r="C24" s="480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4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+Faworyt!A29</f>
        <v>horný vozík</v>
      </c>
      <c r="B25" s="170">
        <v>228023</v>
      </c>
      <c r="C25" s="480" t="str">
        <f>+VLOOKUP(B25,cennik!A:G,2,FALSE)</f>
        <v>SEVROLL 10196 Focus horný vozík 18mm 2ks</v>
      </c>
      <c r="D25" s="15">
        <f>IF((D39+D38)&gt;D4,0,D4-(D38+D39))</f>
        <v>0</v>
      </c>
      <c r="E25" s="193">
        <f>+VLOOKUP(B25,cennik!A:G,3,FALSE)</f>
        <v>3.9346299999999998</v>
      </c>
      <c r="F25" s="86">
        <f t="shared" si="0"/>
        <v>0</v>
      </c>
      <c r="G25" s="87">
        <f>+F25*(100-G21)/100</f>
        <v>0</v>
      </c>
      <c r="H25" s="5" t="str">
        <f>cennik!B2</f>
        <v>EUR</v>
      </c>
      <c r="I25" s="364" t="str">
        <f>IFERROR(IF((VLOOKUP(B25,cennik!A:L,12,0))="O",texty!A250,""),"")</f>
        <v/>
      </c>
      <c r="J25" s="174" t="str">
        <f>IF(D25&gt;0,IF(VLOOKUP(B25,cennik!A:L,12,FALSE)="O",1,""),"")</f>
        <v/>
      </c>
      <c r="L25" s="5"/>
    </row>
    <row r="26" spans="1:12" ht="12.75" customHeight="1" x14ac:dyDescent="0.25">
      <c r="A26" s="6" t="str">
        <f>+Faworyt!A30</f>
        <v>spodný vozík</v>
      </c>
      <c r="B26" s="170">
        <v>362316</v>
      </c>
      <c r="C26" s="480" t="str">
        <f>+VLOOKUP(B26,cennik!A:G,2,FALSE)</f>
        <v>SEVROLL 10237 2x spodný vozík pre lamino 18mm bez pozicionéru bez pružiny</v>
      </c>
      <c r="D26" s="15">
        <f>+D4</f>
        <v>0</v>
      </c>
      <c r="E26" s="193">
        <f>+VLOOKUP(B26,cennik!A:G,3,FALSE)</f>
        <v>4.9182699999999997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4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+Faworyt!A31</f>
        <v>dorazový kartáč</v>
      </c>
      <c r="B27" s="170">
        <v>229433</v>
      </c>
      <c r="C27" s="480" t="str">
        <f>+VLOOKUP(B27,cennik!A:G,2,FALSE)</f>
        <v>SEVROLL dorazová kefa zásuvná 4,8x4mm sivá</v>
      </c>
      <c r="D27" s="15">
        <f>CEILING((B4*D4*2/1000),1)</f>
        <v>0</v>
      </c>
      <c r="E27" s="193">
        <f>+VLOOKUP(B27,cennik!A:G,3,FALSE)</f>
        <v>0.13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4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+Faworyt!A32</f>
        <v>úchytková lišta</v>
      </c>
      <c r="B28" s="170">
        <v>98001</v>
      </c>
      <c r="C28" s="480" t="str">
        <f>+VLOOKUP(B28,cennik!A:G,2,FALSE)</f>
        <v>Sevroll (Astin) Elegant úch.lišta 2,7m str. (22/1)</v>
      </c>
      <c r="D28" s="15">
        <f>IF(B9&lt;=1347,D4*2/2,D4*2)</f>
        <v>0</v>
      </c>
      <c r="E28" s="193">
        <f>+VLOOKUP(B28,cennik!A:G,3,FALSE)</f>
        <v>19.595020000000002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/>
      <c r="B29" s="170"/>
      <c r="C29" s="23"/>
      <c r="D29" s="15"/>
      <c r="E29" s="86"/>
      <c r="F29" s="86"/>
      <c r="G29" s="87"/>
      <c r="H29" s="5"/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s="120" customFormat="1" ht="12.75" customHeight="1" x14ac:dyDescent="0.25">
      <c r="A30" s="12" t="str">
        <f>texty!A66</f>
        <v>Voliteľné príslušenstvo:</v>
      </c>
      <c r="B30" s="114"/>
      <c r="C30" s="116"/>
      <c r="D30" s="371" t="str">
        <f>Faworyt!D34</f>
        <v>zadajte počet:</v>
      </c>
      <c r="E30" s="124"/>
      <c r="F30" s="124"/>
      <c r="G30" s="125"/>
      <c r="H30" s="119"/>
      <c r="I30" s="364" t="str">
        <f>IFERROR(IF((VLOOKUP(B30,cennik!A:L,12,0))="O",texty!A250,""),"")</f>
        <v/>
      </c>
      <c r="J30" s="174"/>
      <c r="L30" s="119"/>
    </row>
    <row r="31" spans="1:12" ht="12.75" customHeight="1" x14ac:dyDescent="0.25">
      <c r="A31" s="67" t="str">
        <f>texty!A88</f>
        <v>pozicionér do horného vedenia</v>
      </c>
      <c r="B31" s="170">
        <v>298035</v>
      </c>
      <c r="C31" s="480" t="str">
        <f>+VLOOKUP(B31,cennik!A:G,2,FALSE)</f>
        <v>SEVROLL 20326 Fix pozicionér pre horný vozík transparentný</v>
      </c>
      <c r="D31" s="27"/>
      <c r="E31" s="193">
        <f>+VLOOKUP(B31,cennik!A:G,3,FALSE)</f>
        <v>1.0929500000000001</v>
      </c>
      <c r="F31" s="99">
        <f>+E31*D31</f>
        <v>0</v>
      </c>
      <c r="G31" s="98">
        <f>+F31*(100-G21)/100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7" t="str">
        <f>texty!A111</f>
        <v xml:space="preserve">pozicionér </v>
      </c>
      <c r="B32" s="170">
        <v>89063</v>
      </c>
      <c r="C32" s="480" t="str">
        <f>+VLOOKUP(B32,cennik!A:G,2,FALSE)</f>
        <v>SEVROLL 20080 pozicionér spodného vozíka HI-TEC</v>
      </c>
      <c r="D32" s="27"/>
      <c r="E32" s="193">
        <f>+VLOOKUP(B32,cennik!A:G,3,FALSE)</f>
        <v>0.31226999999999999</v>
      </c>
      <c r="F32" s="99">
        <f>+E32*D32</f>
        <v>0</v>
      </c>
      <c r="G32" s="98">
        <f>+F32*(100-G21)/100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7" t="str">
        <f>texty!A228</f>
        <v> Tlmič dorazu MINI do 25 kg (pár)</v>
      </c>
      <c r="B33" s="170">
        <v>318662</v>
      </c>
      <c r="C33" s="23" t="str">
        <f>+VLOOKUP(B33,cennik!A:G,2,FALSE)</f>
        <v>SEVROLL 20368-SV tlmič dorazu Mini SV25 (14-25kg)</v>
      </c>
      <c r="D33" s="278"/>
      <c r="E33" s="86">
        <f>+VLOOKUP(B33,cennik!A:G,3,FALSE)</f>
        <v>22.951930000000001</v>
      </c>
      <c r="F33" s="91">
        <f>+CEILING(D33,1)*E33</f>
        <v>0</v>
      </c>
      <c r="G33" s="98">
        <f>+F33*(100-G21)/100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67" t="str">
        <f>texty!A229</f>
        <v> Tlmič dorazu MINI do 40 kg (pár)</v>
      </c>
      <c r="B34" s="66">
        <v>283956</v>
      </c>
      <c r="C34" s="23" t="str">
        <f>+VLOOKUP(B34,cennik!A:G,2,FALSE)</f>
        <v>SEVROLL 20258-SV tlmič dorazu Mini SV40 (25 - 40kg)</v>
      </c>
      <c r="D34" s="278"/>
      <c r="E34" s="86">
        <f>+VLOOKUP(B34,cennik!A:G,3,FALSE)</f>
        <v>22.951930000000001</v>
      </c>
      <c r="F34" s="91">
        <f>+CEILING(D34,1)*E34</f>
        <v>0</v>
      </c>
      <c r="G34" s="98">
        <f>+F34*(100-G21)/100</f>
        <v>0</v>
      </c>
      <c r="H34" s="22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texty!A230</f>
        <v> Tlmič dorazu MINI do 60 kg (pár)</v>
      </c>
      <c r="B35" s="66">
        <v>351743</v>
      </c>
      <c r="C35" s="23" t="str">
        <f>+VLOOKUP(B35,cennik!A:G,2,FALSE)</f>
        <v>SEVROLL 20339-SV tlmič dorazu Mini SV60 (40 - 60kg)</v>
      </c>
      <c r="D35" s="278"/>
      <c r="E35" s="86">
        <f>+VLOOKUP(B35,cennik!A:G,3,FALSE)</f>
        <v>22.951930000000001</v>
      </c>
      <c r="F35" s="91">
        <f>+CEILING(D35,1)*E35</f>
        <v>0</v>
      </c>
      <c r="G35" s="98">
        <f>+F35*(100-G21)/100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texty!A231</f>
        <v> Tlmič pre stredné krídlo do 25 kg</v>
      </c>
      <c r="B36" s="66">
        <v>318663</v>
      </c>
      <c r="C36" s="23" t="str">
        <f>+VLOOKUP(B36,cennik!A:G,2,FALSE)</f>
        <v>SEVROLL 20363-SV tlmič Central 10/18mm obojstranný 25kg</v>
      </c>
      <c r="D36" s="278"/>
      <c r="E36" s="86">
        <f>+VLOOKUP(B36,cennik!A:G,3,FALSE)</f>
        <v>49.156689999999998</v>
      </c>
      <c r="F36" s="91">
        <f>+CEILING(D36,1)*E36</f>
        <v>0</v>
      </c>
      <c r="G36" s="98">
        <f>+F36*(100-G21)/100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texty!A232</f>
        <v> Tlmič pre stredné krídlo do 40 kg</v>
      </c>
      <c r="B37" s="66">
        <v>283955</v>
      </c>
      <c r="C37" s="23" t="str">
        <f>+VLOOKUP(B37,cennik!A:G,2,FALSE)</f>
        <v>SEVROLL 20319-SV tlmič Central 10/18mm obojstranný 25-40kg</v>
      </c>
      <c r="D37" s="278"/>
      <c r="E37" s="86">
        <f>+VLOOKUP(B37,cennik!A:G,3,FALSE)</f>
        <v>49.156689999999998</v>
      </c>
      <c r="F37" s="91">
        <f>+CEILING(D37,1)*E37</f>
        <v>0</v>
      </c>
      <c r="G37" s="98">
        <f>+F37*(100-G21)/100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texty!A97</f>
        <v>tlmič dorazu (pár) 25 kg</v>
      </c>
      <c r="B38" s="66">
        <v>227185</v>
      </c>
      <c r="C38" s="480" t="str">
        <f>+VLOOKUP(B38,cennik!A:G,2,FALSE)</f>
        <v>K-SEVROLL tlmič dorazu 10/18mm 14-25kg L+P</v>
      </c>
      <c r="D38" s="27"/>
      <c r="E38" s="193">
        <f>+VLOOKUP(B38,cennik!A:G,3,FALSE)</f>
        <v>25.710319999999999</v>
      </c>
      <c r="F38" s="99">
        <f t="shared" ref="F38:F49" si="1">+E38*D38</f>
        <v>0</v>
      </c>
      <c r="G38" s="98">
        <f>+F38*(100-G21)/100</f>
        <v>0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texty!A98</f>
        <v>tlmič dorazu (pár) 50 kg</v>
      </c>
      <c r="B39" s="66">
        <v>227187</v>
      </c>
      <c r="C39" s="480" t="str">
        <f>+VLOOKUP(B39,cennik!A:G,2,FALSE)</f>
        <v>K-SEVROLL tlmič dorazu 10/18mm 25-50kg L+P</v>
      </c>
      <c r="D39" s="27"/>
      <c r="E39" s="193">
        <f>+VLOOKUP(B39,cennik!A:G,3,FALSE)</f>
        <v>25.710319999999999</v>
      </c>
      <c r="F39" s="99">
        <f t="shared" si="1"/>
        <v>0</v>
      </c>
      <c r="G39" s="98">
        <f>+F39*(100-G21)/100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3"/>
    </row>
    <row r="40" spans="1:12" ht="12.75" customHeight="1" x14ac:dyDescent="0.25">
      <c r="A40" s="67" t="str">
        <f>texty!A196</f>
        <v>Spona dorazovej kefky</v>
      </c>
      <c r="B40" s="170">
        <v>223569</v>
      </c>
      <c r="C40" s="480" t="str">
        <f>+VLOOKUP(B40,cennik!A:G,2,FALSE)</f>
        <v>SEVROLL 20223 spona dorazovej kefky</v>
      </c>
      <c r="D40" s="27"/>
      <c r="E40" s="193">
        <f>+VLOOKUP(B40,cennik!A:G,3,FALSE)</f>
        <v>7.8070000000000001E-2</v>
      </c>
      <c r="F40" s="99">
        <f t="shared" si="1"/>
        <v>0</v>
      </c>
      <c r="G40" s="98">
        <f>+F40*(100-G21)/100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7" t="str">
        <f>texty!A265</f>
        <v>spojovací profil H08/18 - 3 metre</v>
      </c>
      <c r="B41" s="170">
        <v>135152</v>
      </c>
      <c r="C41" s="480" t="str">
        <f>+VLOOKUP(B41,cennik!A:G,2,FALSE)</f>
        <v>SEVROLL spojovacia lišta H08/18 3m strieborn</v>
      </c>
      <c r="D41" s="27"/>
      <c r="E41" s="193">
        <f>+VLOOKUP(B41,cennik!A:G,3,FALSE)</f>
        <v>8.8216599999999996</v>
      </c>
      <c r="F41" s="86">
        <f t="shared" si="1"/>
        <v>0</v>
      </c>
      <c r="G41" s="87" t="e">
        <f>+F41*(100-G23)/100</f>
        <v>#N/A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67" t="str">
        <f>texty!A119</f>
        <v>uholník mini 11x17mm - 1,7m</v>
      </c>
      <c r="B42" s="487">
        <v>98011</v>
      </c>
      <c r="C42" s="480" t="str">
        <f>IF(B42=data!D64,texty!A239,+VLOOKUP(B42,cennik!A:G,2,FALSE))</f>
        <v>Sevroll (Astin)-UHOLNÍK 1,8M HLINÍK (22/1)</v>
      </c>
      <c r="D42" s="27"/>
      <c r="E42" s="86">
        <f>IF(B42=data!D73,0,+VLOOKUP(B42,cennik!A:G,3,FALSE))</f>
        <v>5.0744100000000003</v>
      </c>
      <c r="F42" s="86">
        <f t="shared" si="1"/>
        <v>0</v>
      </c>
      <c r="G42" s="98">
        <f>+F42*(100-G21)/100</f>
        <v>0</v>
      </c>
      <c r="H42" s="5" t="str">
        <f>cennik!B2</f>
        <v>EUR</v>
      </c>
      <c r="I42" s="364" t="str">
        <f>IFERROR(IF((VLOOKUP(B42,cennik!A:L,12,0))="O",texty!A250,""),"")</f>
        <v>Na objednávku</v>
      </c>
      <c r="J42" s="174" t="str">
        <f>IF(D42&gt;0,IF(VLOOKUP(B42,cennik!A:L,12,FALSE)="O",1,""),"")</f>
        <v/>
      </c>
      <c r="L42" s="5"/>
    </row>
    <row r="43" spans="1:12" ht="12.75" customHeight="1" x14ac:dyDescent="0.25">
      <c r="A43" s="67" t="str">
        <f>texty!A120</f>
        <v>uholník mini 11x17mm - 2,35m</v>
      </c>
      <c r="B43" s="487">
        <v>98012</v>
      </c>
      <c r="C43" s="480" t="str">
        <f>IF(B43=data!D64,texty!A239,+VLOOKUP(B43,cennik!A:G,2,FALSE))</f>
        <v>Sevroll (Astin) UHOLNÍK 2,7M str. (22/1)</v>
      </c>
      <c r="D43" s="27"/>
      <c r="E43" s="86">
        <f>IF(B43=data!D73,0,+VLOOKUP(B43,cennik!A:G,3,FALSE))</f>
        <v>7.9629200000000004</v>
      </c>
      <c r="F43" s="86">
        <f t="shared" si="1"/>
        <v>0</v>
      </c>
      <c r="G43" s="98">
        <f>+F43*(100-G21)/100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</row>
    <row r="44" spans="1:12" ht="12.75" customHeight="1" x14ac:dyDescent="0.25">
      <c r="A44" s="67" t="str">
        <f>texty!A121</f>
        <v>uholník mini 11x17mm - 3m</v>
      </c>
      <c r="B44" s="487">
        <v>98013</v>
      </c>
      <c r="C44" s="480" t="str">
        <f>IF(B44=data!D64,texty!A239,+VLOOKUP(B44,cennik!A:G,2,FALSE))</f>
        <v>Sevroll (Astin)-UHOLNÍK 3,6M HLINÍK (22/1)</v>
      </c>
      <c r="D44" s="27"/>
      <c r="E44" s="86">
        <f>IF(B44=data!D73,0,+VLOOKUP(B44,cennik!A:G,3,FALSE))</f>
        <v>10.487109999999999</v>
      </c>
      <c r="F44" s="86">
        <f t="shared" si="1"/>
        <v>0</v>
      </c>
      <c r="G44" s="98">
        <f>+F44*(100-G21)/100</f>
        <v>0</v>
      </c>
      <c r="H44" s="5" t="str">
        <f>cennik!B2</f>
        <v>EUR</v>
      </c>
      <c r="I44" s="364" t="str">
        <f>IFERROR(IF((VLOOKUP(B44,cennik!A:L,12,0))="O",texty!A250,""),"")</f>
        <v>Na objednávku</v>
      </c>
      <c r="J44" s="174" t="str">
        <f>IF(D44&gt;0,IF(VLOOKUP(B44,cennik!A:L,12,FALSE)="O",1,""),"")</f>
        <v/>
      </c>
      <c r="L44" s="5"/>
    </row>
    <row r="45" spans="1:12" ht="12.75" customHeight="1" x14ac:dyDescent="0.25">
      <c r="A45" s="67" t="str">
        <f>texty!A122</f>
        <v>uholník K2 19x18mm - 1,7m</v>
      </c>
      <c r="B45" s="292" t="e">
        <f>+VLOOKUP(O7,data!C630:D640,2,0)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+F45*(100-G21)/100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</row>
    <row r="46" spans="1:12" ht="12.75" customHeight="1" x14ac:dyDescent="0.25">
      <c r="A46" s="67" t="str">
        <f>texty!A123</f>
        <v>uholník K2 19x18mm - 2,35m</v>
      </c>
      <c r="B46" s="292" t="e">
        <f>+VLOOKUP(O7,data!C642:D652,2,0)</f>
        <v>#N/A</v>
      </c>
      <c r="C46" s="480" t="e">
        <f>IF(B46=data!D64,texty!A239,+VLOOKUP(B46,cennik!A:G,2,FALSE))</f>
        <v>#N/A</v>
      </c>
      <c r="D46" s="28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+F46*(100-G21)/100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</row>
    <row r="47" spans="1:12" ht="12.75" customHeight="1" x14ac:dyDescent="0.25">
      <c r="A47" s="67" t="str">
        <f>texty!A124</f>
        <v>uholník K2 19x18mm - 3,00m</v>
      </c>
      <c r="B47" s="487" t="e">
        <f>+VLOOKUP(O7,data!C654:D664,2,0)</f>
        <v>#N/A</v>
      </c>
      <c r="C47" s="480" t="e">
        <f>IF(B47=data!D64,texty!A239,+VLOOKUP(B47,cennik!A:G,2,FALSE))</f>
        <v>#N/A</v>
      </c>
      <c r="D47" s="28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+F47*(100-G21)/100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67" t="str">
        <f>texty!A240</f>
        <v>zámok posuvných dverí</v>
      </c>
      <c r="B48" s="66">
        <v>216363</v>
      </c>
      <c r="C48" s="480" t="str">
        <f>+VLOOKUP(B48,cennik!A:G,2,FALSE)</f>
        <v>SEVROLL 20356 zámok na posuvné dvere 10/18mm</v>
      </c>
      <c r="D48" s="27"/>
      <c r="E48" s="193">
        <f>+VLOOKUP(B48,cennik!A:G,3,FALSE)</f>
        <v>15.855560000000001</v>
      </c>
      <c r="F48" s="99">
        <f t="shared" si="1"/>
        <v>0</v>
      </c>
      <c r="G48" s="98">
        <f>+F48*(100-G21)/100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67" t="str">
        <f>texty!A112</f>
        <v>protiprachový kartáč samolepiaci</v>
      </c>
      <c r="B49" s="170">
        <v>95946</v>
      </c>
      <c r="C49" s="23" t="str">
        <f>+VLOOKUP(B49,cennik!A:G,2,FALSE)</f>
        <v>SEVROLL protiprach.kartáč zásuvný 4,8x13mm</v>
      </c>
      <c r="D49" s="27"/>
      <c r="E49" s="193">
        <f>+VLOOKUP(B49,cennik!A:G,3,FALSE)</f>
        <v>0.20741000000000001</v>
      </c>
      <c r="F49" s="99">
        <f t="shared" si="1"/>
        <v>0</v>
      </c>
      <c r="G49" s="98">
        <f>+F49*(100-G21)/100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/>
      <c r="B50" s="22"/>
      <c r="C50" s="23"/>
      <c r="D50" s="193"/>
      <c r="E50" s="193"/>
      <c r="F50" s="99"/>
      <c r="G50" s="98"/>
      <c r="H50" s="5"/>
      <c r="I50" s="166"/>
      <c r="J50" s="174"/>
      <c r="L50" s="5"/>
    </row>
    <row r="51" spans="1:14" ht="15" x14ac:dyDescent="0.25">
      <c r="A51" s="209" t="str">
        <f>texty!A190</f>
        <v>Ďalšie príslušenstvo</v>
      </c>
      <c r="B51" s="210"/>
      <c r="C51" s="210"/>
      <c r="D51" s="210"/>
      <c r="E51" s="210"/>
      <c r="F51" s="210"/>
      <c r="G51" s="210"/>
      <c r="H51" s="210"/>
      <c r="I51" s="210"/>
      <c r="J51" s="210"/>
      <c r="K51" s="126"/>
      <c r="L51" s="5"/>
    </row>
    <row r="52" spans="1:14" ht="12.75" customHeight="1" x14ac:dyDescent="0.25">
      <c r="A52" s="209" t="str">
        <f>texty!A244</f>
        <v>Technický nákres tohoto systému</v>
      </c>
      <c r="B52" s="15"/>
      <c r="C52" s="23"/>
      <c r="D52" s="71" t="str">
        <f>Faworyt!D61</f>
        <v>CELKOM  (bez DPH)</v>
      </c>
      <c r="E52" s="108"/>
      <c r="F52" s="111" t="e">
        <f>SUM(F23:F49)</f>
        <v>#N/A</v>
      </c>
      <c r="G52" s="112" t="e">
        <f>SUM(G23:G49)</f>
        <v>#N/A</v>
      </c>
      <c r="H52" s="5" t="str">
        <f>cennik!B2</f>
        <v>EUR</v>
      </c>
      <c r="L52" s="5"/>
    </row>
    <row r="53" spans="1:14" ht="12.75" customHeight="1" x14ac:dyDescent="0.25">
      <c r="A53" s="70" t="str">
        <f>System10!A67</f>
        <v>Vaša poznámka:</v>
      </c>
      <c r="B53" s="710"/>
      <c r="C53" s="711"/>
      <c r="D53" s="711"/>
      <c r="E53" s="711"/>
      <c r="F53" s="711"/>
      <c r="G53" s="712"/>
      <c r="H53" s="5"/>
      <c r="L53" s="5"/>
    </row>
    <row r="54" spans="1:14" ht="12.75" customHeight="1" x14ac:dyDescent="0.25">
      <c r="A54" s="709" t="str">
        <f>profil!U15</f>
        <v/>
      </c>
      <c r="B54" s="709"/>
      <c r="C54" s="709"/>
      <c r="D54" s="709"/>
      <c r="E54" s="709"/>
      <c r="F54" s="709"/>
      <c r="G54" s="709"/>
      <c r="H54" s="709"/>
      <c r="L54" s="5"/>
    </row>
    <row r="55" spans="1:14" ht="12.75" customHeight="1" x14ac:dyDescent="0.25">
      <c r="A55" s="695" t="str">
        <f>IF(N55=1,texty!A215,IF(J55&gt;0,texty!A214,""))</f>
        <v>niektoré položky sa vo vybranej dĺžke nevyrábajú</v>
      </c>
      <c r="B55" s="695"/>
      <c r="C55" s="695"/>
      <c r="D55" s="695"/>
      <c r="E55" s="695"/>
      <c r="F55" s="695"/>
      <c r="G55" s="695"/>
      <c r="H55" s="695"/>
      <c r="J55" s="5" t="e">
        <f>SUM(J23:J49)</f>
        <v>#N/A</v>
      </c>
      <c r="L55" s="5" t="str">
        <f>texty!A128</f>
        <v xml:space="preserve">strieborná </v>
      </c>
      <c r="M55" s="19" t="s">
        <v>971</v>
      </c>
      <c r="N55" s="4">
        <f>IF(ISERROR(J55),1,0)</f>
        <v>1</v>
      </c>
    </row>
    <row r="56" spans="1:14" ht="12.75" customHeight="1" x14ac:dyDescent="0.25">
      <c r="A56" s="6"/>
      <c r="B56" s="715"/>
      <c r="C56" s="694"/>
      <c r="D56" s="694"/>
      <c r="E56" s="694"/>
      <c r="F56" s="694"/>
      <c r="G56" s="694"/>
      <c r="H56" s="694"/>
      <c r="L56" s="5"/>
      <c r="M56" s="19" t="s">
        <v>42</v>
      </c>
    </row>
    <row r="57" spans="1:14" ht="12.75" hidden="1" customHeight="1" x14ac:dyDescent="0.25">
      <c r="A57" s="59"/>
      <c r="L57" s="5"/>
    </row>
    <row r="58" spans="1:14" ht="12.75" hidden="1" customHeight="1" x14ac:dyDescent="0.25">
      <c r="L58" s="5"/>
    </row>
    <row r="59" spans="1:14" ht="12.75" hidden="1" customHeight="1" x14ac:dyDescent="0.25">
      <c r="L59" s="5"/>
    </row>
    <row r="60" spans="1:14" ht="12.75" hidden="1" customHeight="1" x14ac:dyDescent="0.25">
      <c r="L60" s="5"/>
    </row>
    <row r="61" spans="1:14" ht="12.75" hidden="1" customHeight="1" x14ac:dyDescent="0.25">
      <c r="L61" s="5"/>
    </row>
    <row r="62" spans="1:14" ht="12.75" hidden="1" customHeight="1" x14ac:dyDescent="0.25">
      <c r="L62" s="5"/>
    </row>
    <row r="63" spans="1:14" ht="12.75" hidden="1" customHeight="1" x14ac:dyDescent="0.25">
      <c r="L63" s="5"/>
    </row>
    <row r="64" spans="1:14" ht="12.75" hidden="1" customHeight="1" x14ac:dyDescent="0.25">
      <c r="L64" s="5"/>
    </row>
    <row r="65" spans="12:12" ht="12.75" hidden="1" customHeight="1" x14ac:dyDescent="0.25">
      <c r="L65" s="5"/>
    </row>
    <row r="66" spans="12:12" ht="12.75" hidden="1" customHeight="1" x14ac:dyDescent="0.25">
      <c r="L66" s="5"/>
    </row>
    <row r="67" spans="12:12" ht="12.75" hidden="1" customHeight="1" x14ac:dyDescent="0.25">
      <c r="L67" s="5"/>
    </row>
    <row r="68" spans="12:12" ht="12.75" hidden="1" customHeight="1" x14ac:dyDescent="0.25">
      <c r="L68" s="5"/>
    </row>
    <row r="69" spans="12:12" ht="12.75" hidden="1" customHeight="1" x14ac:dyDescent="0.25">
      <c r="L69" s="5"/>
    </row>
    <row r="70" spans="12:12" ht="12.75" hidden="1" customHeight="1" x14ac:dyDescent="0.25">
      <c r="L70" s="5"/>
    </row>
    <row r="71" spans="12:12" ht="12.75" hidden="1" customHeight="1" x14ac:dyDescent="0.25">
      <c r="L71" s="5"/>
    </row>
    <row r="72" spans="12:12" ht="12.75" hidden="1" customHeight="1" x14ac:dyDescent="0.25">
      <c r="L72" s="5"/>
    </row>
  </sheetData>
  <sheetProtection algorithmName="SHA-512" hashValue="ZyFB78bNXXu+KgY4Hl2kEmk7KkkkinogAYMskCcoRlwZ3FgwbJMgUSS59kex2e5kfsZcpchBBNwFCLTqJhB1vQ==" saltValue="vBAFsirMBwkkgPJ6heHa7Q==" spinCount="100000" sheet="1" objects="1" scenarios="1"/>
  <mergeCells count="7">
    <mergeCell ref="B5:E5"/>
    <mergeCell ref="A54:H54"/>
    <mergeCell ref="B56:H56"/>
    <mergeCell ref="A55:H55"/>
    <mergeCell ref="B53:G53"/>
    <mergeCell ref="G4:I6"/>
    <mergeCell ref="A11:B12"/>
  </mergeCells>
  <conditionalFormatting sqref="A11">
    <cfRule type="expression" dxfId="43" priority="3">
      <formula>SUM($D$36:$D$37)&gt;0</formula>
    </cfRule>
  </conditionalFormatting>
  <conditionalFormatting sqref="D6">
    <cfRule type="expression" dxfId="41" priority="5">
      <formula>$D$4=4</formula>
    </cfRule>
    <cfRule type="expression" dxfId="40" priority="6">
      <formula>$D$4&lt;&gt;4</formula>
    </cfRule>
  </conditionalFormatting>
  <conditionalFormatting sqref="G4">
    <cfRule type="expression" dxfId="39" priority="4">
      <formula>$D$4=4</formula>
    </cfRule>
  </conditionalFormatting>
  <dataValidations count="4">
    <dataValidation type="list" allowBlank="1" showInputMessage="1" showErrorMessage="1" sqref="E5:F5" xr:uid="{00000000-0002-0000-2100-000002000000}">
      <formula1>"stříbrná,zlatá,oliva"</formula1>
      <formula2>0</formula2>
    </dataValidation>
    <dataValidation type="list" allowBlank="1" showInputMessage="1" showErrorMessage="1" sqref="D6" xr:uid="{00000000-0002-0000-2100-000005000000}">
      <formula1>$L$1:$L$2</formula1>
    </dataValidation>
    <dataValidation type="whole" allowBlank="1" showInputMessage="1" showErrorMessage="1" error="Max 2742 mm" sqref="B4" xr:uid="{35567600-448F-46E6-A570-DD22CB7D936F}">
      <formula1>0</formula1>
      <formula2>2742</formula2>
    </dataValidation>
    <dataValidation type="list" allowBlank="1" showInputMessage="1" showErrorMessage="1" sqref="E4" xr:uid="{6EC1C668-2F7A-4C3C-B95C-0406D90FF3F4}">
      <formula1>$L$55</formula1>
    </dataValidation>
  </dataValidations>
  <hyperlinks>
    <hyperlink ref="A2" location="profil!A1" display="Universal" xr:uid="{00000000-0004-0000-2100-000000000000}"/>
    <hyperlink ref="A51" location="příslušenství!A56" display="příslušenství!A56" xr:uid="{00000000-0004-0000-2100-000001000000}"/>
    <hyperlink ref="A52" location="'sys. 18mm'!A56" display="'sys. 18mm'!A56" xr:uid="{203E2563-9D1C-4FFD-AF0E-6A81C13DD98A}"/>
  </hyperlinks>
  <pageMargins left="0.70866141732283472" right="0.70866141732283472" top="0.25" bottom="0.34" header="0.17" footer="0.22"/>
  <pageSetup paperSize="9" scale="85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384680A-90B5-4600-87B6-75AE7F393405}">
            <xm:f>$I23=texty!$A$250</xm:f>
            <x14:dxf>
              <font>
                <color rgb="FFFF0000"/>
              </font>
            </x14:dxf>
          </x14:cfRule>
          <xm:sqref>A23:I49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7" t="s">
        <v>853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7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"/>
      <c r="G4" s="701"/>
      <c r="H4" s="701"/>
      <c r="I4" s="701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vypíšte tieto 4 políčka !!! Údaje v mm</v>
      </c>
      <c r="C5" s="713"/>
      <c r="D5" s="713"/>
      <c r="E5" s="713"/>
      <c r="F5" s="367"/>
      <c r="G5" s="701"/>
      <c r="H5" s="701"/>
      <c r="I5" s="701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rozmer výplne 10 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Maximálna hmotnosť krídla je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Horný/spodný profil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úchytová lišta</v>
      </c>
      <c r="B10" s="381" t="str">
        <f>+B7</f>
        <v/>
      </c>
      <c r="C10" s="382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Pri tejto zostave nie je možné použiť kombináciu so sklom / zrkadlom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11" t="str">
        <f>texty!A78</f>
        <v>dodatočné odpočty výšky vypočítaných výplní pri použití deliacich profilov výplne: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4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4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7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8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IF((D41+D42)&gt;D4,0,D4-(D42+D41))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8" t="e">
        <f>+E31*D31</f>
        <v>#N/A</v>
      </c>
      <c r="G31" s="369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1" t="str">
        <f>+Faworyt!D34</f>
        <v>zadajte počet:</v>
      </c>
      <c r="E33" s="124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zámok posuvných dverí</v>
      </c>
      <c r="B55" s="66">
        <v>216363</v>
      </c>
      <c r="C55" s="480" t="str">
        <f>+VLOOKUP(B55,cennik!A:G,2,FALSE)</f>
        <v>SEVROLL 20356 zámok na posuvné dvere 10/18mm</v>
      </c>
      <c r="D55" s="27"/>
      <c r="E55" s="193">
        <f>+VLOOKUP(B55,cennik!A:G,3,FALSE)</f>
        <v>15.855560000000001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protiprachový kartáč samolepiaci</v>
      </c>
      <c r="B56" s="66">
        <v>308639</v>
      </c>
      <c r="C56" s="23" t="str">
        <f>+VLOOKUP(B56,cennik!A:G,2,FALSE)</f>
        <v>SEVROLL protiprachový kartáč samolep. 6,7x13mm</v>
      </c>
      <c r="D56" s="27"/>
      <c r="E56" s="193">
        <f>+VLOOKUP(B56,cennik!A:G,3,FALSE)</f>
        <v>0.34048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Ďalšie príslušenstvo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Technický nákres tohoto systému</v>
      </c>
      <c r="B59" s="7"/>
      <c r="C59" s="7"/>
      <c r="D59" s="71" t="str">
        <f>texty!A15</f>
        <v>CELKOM  (bez DPH)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 xml:space="preserve">strieborná </v>
      </c>
      <c r="M59" s="19" t="s">
        <v>971</v>
      </c>
    </row>
    <row r="60" spans="1:14" ht="12.75" customHeight="1" x14ac:dyDescent="0.25">
      <c r="A60" s="70" t="str">
        <f>System10!A67</f>
        <v>Vaša poznámka:</v>
      </c>
      <c r="B60" s="697"/>
      <c r="C60" s="698"/>
      <c r="D60" s="698"/>
      <c r="E60" s="698"/>
      <c r="F60" s="698"/>
      <c r="G60" s="699"/>
      <c r="H60" s="5"/>
      <c r="L60" s="4" t="str">
        <f>texty!A130</f>
        <v>oliva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niektoré položky sa vo vybranej dĺžke nevyrábajú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8"/>
      <c r="B1" s="39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855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7" t="str">
        <f>CONCATENATE(texty!A243," ",7,".",54)</f>
        <v>Katalóg Kovania 2024 str. 7.54</v>
      </c>
      <c r="B3" s="318" t="str">
        <f>CONCATENATE(texty!A34," 
/ max. 2 742 mm /")</f>
        <v>výška 
/ max.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vypíšte tieto 4 políčka !!! Údaje v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dĺžka úchytkového profilu (+2 mm)</v>
      </c>
      <c r="B11" s="380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Max. veľkosť krídla so zrkadlom je 2400x700mm</v>
      </c>
      <c r="B12" s="716"/>
      <c r="C12" s="605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IF((D42+D41)&gt;D4,0,D4-(D41+D42))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2" t="str">
        <f>+Faworyt!D34</f>
        <v>zadajte počet: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klínok pre dilatáciu výplne 16mm</v>
      </c>
      <c r="B55" s="66">
        <v>308631</v>
      </c>
      <c r="C55" s="480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zámok posuvných dverí</v>
      </c>
      <c r="B56" s="66">
        <v>216363</v>
      </c>
      <c r="C56" s="480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protiprachový kartáč samolepiaci</v>
      </c>
      <c r="B57" s="66">
        <v>308639</v>
      </c>
      <c r="C57" s="23" t="str">
        <f>+VLOOKUP(B57,cennik!A:G,2,FALSE)</f>
        <v>SEVROLL protiprachový kartáč samolep. 6,7x13mm</v>
      </c>
      <c r="D57" s="27"/>
      <c r="E57" s="193">
        <f>+VLOOKUP(B57,cennik!A:G,3,FALSE)</f>
        <v>0.34048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 xml:space="preserve">strieborná </v>
      </c>
    </row>
    <row r="61" spans="1:14" ht="12.75" customHeight="1" x14ac:dyDescent="0.25">
      <c r="A61" s="70" t="str">
        <f>System10!A67</f>
        <v>Vaša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7" t="s">
        <v>854</v>
      </c>
      <c r="B2" s="50" t="str">
        <f>profil!T7</f>
        <v>Zákazník:, , IČO: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7" t="str">
        <f>CONCATENATE(texty!A243," ",7,".",54)</f>
        <v>Katalóg Kovania 2024 str. 7.54</v>
      </c>
      <c r="B3" s="318" t="str">
        <f>CONCATENATE(texty!A34," / max.        2 742 mm /")</f>
        <v>výška / max.        2 742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8"/>
      <c r="G3" s="5"/>
      <c r="H3" s="5"/>
      <c r="L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8"/>
      <c r="G4" s="701"/>
      <c r="H4" s="701"/>
      <c r="I4" s="701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70"/>
      <c r="B5" s="713" t="str">
        <f>texty!A46</f>
        <v>vypíšte tieto 4 políčka !!! Údaje v mm</v>
      </c>
      <c r="C5" s="713"/>
      <c r="D5" s="713"/>
      <c r="E5" s="713"/>
      <c r="F5" s="367"/>
      <c r="G5" s="701"/>
      <c r="H5" s="701"/>
      <c r="I5" s="701"/>
      <c r="K5" s="173"/>
      <c r="L5" s="3"/>
      <c r="O5" s="4" t="str">
        <f>O8</f>
        <v>1700-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"/>
      <c r="G6" s="701"/>
      <c r="H6" s="701"/>
      <c r="I6" s="701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krídlo dverí: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rozmer výplne 18mm: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Maximálna hmotnosť krídla je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rozmer zrkadla /na DTD 12mm/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6" t="str">
        <f>texty!A51</f>
        <v>dĺžka úchytkového profilu (+2 mm)</v>
      </c>
      <c r="B11" s="395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6" t="str">
        <f>IF(B7&gt;2400,texty!A194,IF(C7&gt;700,texty!A194,""))</f>
        <v>Max. veľkosť krídla so zrkadlom je 2400x700mm</v>
      </c>
      <c r="B12" s="716"/>
      <c r="C12" s="605" t="str">
        <f>texty!A78</f>
        <v>dodatočné odpočty výšky vypočítaných výplní pri použití deliacich profilov výplne: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5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5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8" t="s">
        <v>992</v>
      </c>
      <c r="B21" s="397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partnerská zľava:</v>
      </c>
      <c r="H22" s="5"/>
      <c r="M22" s="5"/>
      <c r="U22" s="150"/>
    </row>
    <row r="23" spans="1:22" ht="12.75" customHeight="1" x14ac:dyDescent="0.25">
      <c r="A23" s="12" t="str">
        <f>texty!A80</f>
        <v>Objednávacie kódy, ceny: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kód</v>
      </c>
      <c r="C24" s="16" t="str">
        <f>+System10!C27</f>
        <v>názov</v>
      </c>
      <c r="D24" s="17" t="str">
        <f>+System10!D27</f>
        <v>ks</v>
      </c>
      <c r="E24" s="17" t="str">
        <f>+System10!E27</f>
        <v>cena/ks</v>
      </c>
      <c r="F24" s="17" t="str">
        <f>+System10!F27</f>
        <v>cena celkom</v>
      </c>
      <c r="G24" s="18" t="str">
        <f>+System10!G27</f>
        <v>celkom netto:</v>
      </c>
      <c r="H24" s="5"/>
      <c r="I24" s="16" t="str">
        <f>texty!A29</f>
        <v>Poznámka: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Horný profil: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4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spodný profil: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krycí profil (maska):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horné vozíky (sady)</v>
      </c>
      <c r="B28" s="66">
        <v>98092</v>
      </c>
      <c r="C28" s="23" t="str">
        <f>+VLOOKUP(B28,cennik!A:G,2,FALSE)</f>
        <v>SEVROLL 10203 Comfort horný vozík 18mm - 2ks</v>
      </c>
      <c r="D28" s="15">
        <f>IF((D42+D41)&gt;D4,0,D4-(D42+D41))</f>
        <v>0</v>
      </c>
      <c r="E28" s="86">
        <f>+VLOOKUP(B28,cennik!A:G,3,FALSE)</f>
        <v>7.2082600000000001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spodné vozíky (sada)</v>
      </c>
      <c r="B29" s="66">
        <v>362316</v>
      </c>
      <c r="C29" s="23" t="str">
        <f>+VLOOKUP(B29,cennik!A:G,2,FALSE)</f>
        <v>SEVROLL 10237 2x spodný vozík pre lamino 18mm bez pozicionéru bez pružiny</v>
      </c>
      <c r="D29" s="15">
        <f>+D4</f>
        <v>0</v>
      </c>
      <c r="E29" s="86">
        <f>+VLOOKUP(B29,cennik!A:G,3,FALSE)</f>
        <v>4.9182699999999997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dorazový kartáč</v>
      </c>
      <c r="B30" s="66">
        <v>229433</v>
      </c>
      <c r="C30" s="23" t="str">
        <f>+VLOOKUP(B30,cennik!A:G,2,FALSE)</f>
        <v>SEVROLL dorazová kefa zásuvná 4,8x4mm sivá</v>
      </c>
      <c r="D30" s="15">
        <f>CEILING((B4*D4*2/1000),1)</f>
        <v>0</v>
      </c>
      <c r="E30" s="86">
        <f>+VLOOKUP(B30,cennik!A:G,3,FALSE)</f>
        <v>0.13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úchytová lišta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80"/>
      <c r="E32" s="89"/>
      <c r="F32" s="89"/>
      <c r="G32" s="89"/>
      <c r="H32" s="5"/>
      <c r="I32" s="364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Voliteľné príslušenstvo:</v>
      </c>
      <c r="B33" s="113"/>
      <c r="C33" s="116"/>
      <c r="D33" s="372" t="str">
        <f>+Faworyt!D34</f>
        <v>zadajte počet:</v>
      </c>
      <c r="E33" s="117"/>
      <c r="F33" s="117"/>
      <c r="G33" s="118"/>
      <c r="H33" s="119"/>
      <c r="I33" s="364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pozicionér do horného vedenia</v>
      </c>
      <c r="B34" s="66">
        <v>298035</v>
      </c>
      <c r="C34" s="480" t="str">
        <f>+VLOOKUP(B34,cennik!A:G,2,FALSE)</f>
        <v>SEVROLL 20326 Fix pozicionér pre horný vozík transparentný</v>
      </c>
      <c r="D34" s="27"/>
      <c r="E34" s="193">
        <f>+VLOOKUP(B34,cennik!A:G,3,FALSE)</f>
        <v>1.0929500000000001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pozicionér </v>
      </c>
      <c r="B35" s="66">
        <v>89063</v>
      </c>
      <c r="C35" s="480" t="str">
        <f>+VLOOKUP(B35,cennik!A:G,2,FALSE)</f>
        <v>SEVROLL 20080 pozicionér spodného vozíka HI-TEC</v>
      </c>
      <c r="D35" s="27"/>
      <c r="E35" s="193">
        <f>+VLOOKUP(B35,cennik!A:G,3,FALSE)</f>
        <v>0.31226999999999999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 Tlmič dorazu MINI do 25 kg (pár)</v>
      </c>
      <c r="B36" s="66">
        <v>318662</v>
      </c>
      <c r="C36" s="23" t="str">
        <f>+VLOOKUP(B36,cennik!A:G,2,FALSE)</f>
        <v>SEVROLL 20368-SV tlmič dorazu Mini SV25 (14-25kg)</v>
      </c>
      <c r="D36" s="278"/>
      <c r="E36" s="86">
        <f>+VLOOKUP(B36,cennik!A:G,3,FALSE)</f>
        <v>22.951930000000001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 Tlmič dorazu MINI do 40 kg (pár)</v>
      </c>
      <c r="B37" s="66">
        <v>283956</v>
      </c>
      <c r="C37" s="23" t="str">
        <f>+VLOOKUP(B37,cennik!A:G,2,FALSE)</f>
        <v>SEVROLL 20258-SV tlmič dorazu Mini SV40 (25 - 40kg)</v>
      </c>
      <c r="D37" s="278"/>
      <c r="E37" s="86">
        <f>+VLOOKUP(B37,cennik!A:G,3,FALSE)</f>
        <v>22.951930000000001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 Tlmič dorazu MINI do 60 kg (pár)</v>
      </c>
      <c r="B38" s="66">
        <v>351743</v>
      </c>
      <c r="C38" s="23" t="str">
        <f>+VLOOKUP(B38,cennik!A:G,2,FALSE)</f>
        <v>SEVROLL 20339-SV tlmič dorazu Mini SV60 (40 - 60kg)</v>
      </c>
      <c r="D38" s="278"/>
      <c r="E38" s="86">
        <f>+VLOOKUP(B38,cennik!A:G,3,FALSE)</f>
        <v>22.951930000000001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 Tlmič pre stredné krídlo do 25 kg</v>
      </c>
      <c r="B39" s="66">
        <v>318663</v>
      </c>
      <c r="C39" s="23" t="str">
        <f>+VLOOKUP(B39,cennik!A:G,2,FALSE)</f>
        <v>SEVROLL 20363-SV tlmič Central 10/18mm obojstranný 25kg</v>
      </c>
      <c r="D39" s="278"/>
      <c r="E39" s="86">
        <f>+VLOOKUP(B39,cennik!A:G,3,FALSE)</f>
        <v>49.156689999999998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 Tlmič pre stredné krídlo do 40 kg</v>
      </c>
      <c r="B40" s="66">
        <v>283955</v>
      </c>
      <c r="C40" s="23" t="str">
        <f>+VLOOKUP(B40,cennik!A:G,2,FALSE)</f>
        <v>SEVROLL 20319-SV tlmič Central 10/18mm obojstranný 25-40kg</v>
      </c>
      <c r="D40" s="278"/>
      <c r="E40" s="86">
        <f>+VLOOKUP(B40,cennik!A:G,3,FALSE)</f>
        <v>49.156689999999998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tlmič dorazu (pár) 25 kg</v>
      </c>
      <c r="B41" s="66">
        <v>227185</v>
      </c>
      <c r="C41" s="480" t="str">
        <f>+VLOOKUP(B41,cennik!A:G,2,FALSE)</f>
        <v>K-SEVROLL tlmič dorazu 10/18mm 14-25kg L+P</v>
      </c>
      <c r="D41" s="27"/>
      <c r="E41" s="193">
        <f>+VLOOKUP(B41,cennik!A:G,3,FALSE)</f>
        <v>25.710319999999999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tlmič dorazu (pár) 50 kg</v>
      </c>
      <c r="B42" s="66">
        <v>227187</v>
      </c>
      <c r="C42" s="480" t="str">
        <f>+VLOOKUP(B42,cennik!A:G,2,FALSE)</f>
        <v>K-SEVROLL tlmič dorazu 10/18mm 25-50kg L+P</v>
      </c>
      <c r="D42" s="27"/>
      <c r="E42" s="193">
        <f>+VLOOKUP(B42,cennik!A:G,3,FALSE)</f>
        <v>25.710319999999999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Spona dorazovej kefky</v>
      </c>
      <c r="B43" s="66">
        <v>223569</v>
      </c>
      <c r="C43" s="480" t="str">
        <f>+VLOOKUP(B43,cennik!A:G,2,FALSE)</f>
        <v>SEVROLL 20223 spona dorazovej kefky</v>
      </c>
      <c r="D43" s="27"/>
      <c r="E43" s="193">
        <f>+VLOOKUP(B43,cennik!A:G,3,FALSE)</f>
        <v>7.8070000000000001E-2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spojovací profil H18-3metre</v>
      </c>
      <c r="B44" s="66" t="e">
        <f>+VLOOKUP(P7,data!C577:D587,2,0)</f>
        <v>#N/A</v>
      </c>
      <c r="C44" s="480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spojovací T profil - 3metre /s drážkou/</v>
      </c>
      <c r="B45" s="66" t="e">
        <f>+VLOOKUP(P7,data!C589:D598,2,0)</f>
        <v>#N/A</v>
      </c>
      <c r="C45" s="480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spojovací T profil - 3metre /s lemom/</v>
      </c>
      <c r="B46" s="66" t="e">
        <f>+VLOOKUP(P7,data!C599:D608,2,0)</f>
        <v>#N/A</v>
      </c>
      <c r="C46" s="480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 na DTD 18mm - 3 metre /hladký/</v>
      </c>
      <c r="B47" s="292" t="e">
        <f>+VLOOKUP(P7,data!C609:D619,2,0)</f>
        <v>#N/A</v>
      </c>
      <c r="C47" s="480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 na DTD 18mm - 3 metre /lem/</v>
      </c>
      <c r="B48" s="66" t="e">
        <f>+VLOOKUP(P7,data!C619:D629,2,0)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uholník mini 11x17mm - 1,7m</v>
      </c>
      <c r="B49" s="292" t="e">
        <f>+VLOOKUP(P7,data!C630:D640,2,0)</f>
        <v>#N/A</v>
      </c>
      <c r="C49" s="480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uholník mini 11x17mm - 2,35m</v>
      </c>
      <c r="B50" s="292" t="e">
        <f>+VLOOKUP(P7,data!C642:D652,2,0)</f>
        <v>#N/A</v>
      </c>
      <c r="C50" s="480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uholník mini 11x17mm - 3m</v>
      </c>
      <c r="B51" s="292" t="e">
        <f>+VLOOKUP(P7,data!C654:D664,2,0)</f>
        <v>#N/A</v>
      </c>
      <c r="C51" s="480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uholník K2 19x18mm - 1,7m</v>
      </c>
      <c r="B52" s="66" t="e">
        <f>+VLOOKUP(P7,data!C666:D675,2,0)</f>
        <v>#N/A</v>
      </c>
      <c r="C52" s="480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uholník K2 19x18mm - 2,35m</v>
      </c>
      <c r="B53" s="66" t="e">
        <f>+VLOOKUP(P7,data!C676:D685,2,0)</f>
        <v>#N/A</v>
      </c>
      <c r="C53" s="480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uholník K2 19x18mm - 3,00m</v>
      </c>
      <c r="B54" s="66" t="e">
        <f>+VLOOKUP(P7,data!C686:D695,2,0)</f>
        <v>#N/A</v>
      </c>
      <c r="C54" s="480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klínok pre dilatáciu výplne 16mm</v>
      </c>
      <c r="B55" s="66">
        <v>308631</v>
      </c>
      <c r="C55" s="480" t="str">
        <f>+VLOOKUP(B55,cennik!A:G,2,FALSE)</f>
        <v>SEVROLL 20252 klin pre lamino hrúbka 2mm (100 ks)</v>
      </c>
      <c r="D55" s="27"/>
      <c r="E55" s="193">
        <f>+VLOOKUP(B55,cennik!A:G,3,FALSE)</f>
        <v>8.7956400000000006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4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zámok posuvných dverí</v>
      </c>
      <c r="B56" s="66">
        <v>216363</v>
      </c>
      <c r="C56" s="480" t="str">
        <f>+VLOOKUP(B56,cennik!A:G,2,FALSE)</f>
        <v>SEVROLL 20356 zámok na posuvné dvere 10/18mm</v>
      </c>
      <c r="D56" s="27"/>
      <c r="E56" s="193">
        <f>+VLOOKUP(B56,cennik!A:G,3,FALSE)</f>
        <v>15.855560000000001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4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protiprachový kartáč</v>
      </c>
      <c r="B57" s="66">
        <v>95946</v>
      </c>
      <c r="C57" s="23" t="str">
        <f>+VLOOKUP(B57,cennik!A:G,2,FALSE)</f>
        <v>SEVROLL protiprach.kartáč zásuvný 4,8x13mm</v>
      </c>
      <c r="D57" s="27"/>
      <c r="E57" s="193">
        <f>+VLOOKUP(B57,cennik!A:G,3,FALSE)</f>
        <v>0.20741000000000001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4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Ďalšie príslušenstvo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Technický nákres tohoto systému</v>
      </c>
      <c r="B60" s="7"/>
      <c r="C60" s="7"/>
      <c r="D60" s="71" t="str">
        <f>texty!A15</f>
        <v>CELKOM  (bez DPH)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 xml:space="preserve">strieborná </v>
      </c>
    </row>
    <row r="61" spans="1:13" ht="12.75" customHeight="1" x14ac:dyDescent="0.25">
      <c r="A61" s="70" t="str">
        <f>System10!A67</f>
        <v>Vaša poznámka:</v>
      </c>
      <c r="B61" s="697"/>
      <c r="C61" s="698"/>
      <c r="D61" s="698"/>
      <c r="E61" s="698"/>
      <c r="F61" s="698"/>
      <c r="G61" s="699"/>
      <c r="H61" s="5"/>
      <c r="L61" s="4" t="str">
        <f>texty!A130</f>
        <v>oliva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niektoré položky sa vo vybranej dĺžke nevyrábajú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/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7" t="s">
        <v>6580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7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  <c r="S5" s="4" t="e">
        <f>#REF!*3</f>
        <v>#REF!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krídlo dverí: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rozmer výplne 10 mm: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je treba použiť bezpečnostné sklo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dĺžka vodiacej a krycej lišty krídla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Dĺžka tesnenia na sklo na jednom krídle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3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601" t="str">
        <f>texty!A242</f>
        <v>dilatácia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thickBot="1" x14ac:dyDescent="0.3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Horný profil: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thickBot="1" x14ac:dyDescent="0.3">
      <c r="A29" s="320" t="str">
        <f>texty!A82</f>
        <v>spodný profil: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texty!A84</f>
        <v>horné vozíky (sady)</v>
      </c>
      <c r="B31" s="14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texty!A85</f>
        <v>spodné vozíky (sada)</v>
      </c>
      <c r="B32" s="14">
        <f>IF(F4=M64,328321,229441)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4" ht="12.75" customHeight="1" x14ac:dyDescent="0.25">
      <c r="A33" s="320" t="str">
        <f>texty!A89</f>
        <v>dorazový kartáč</v>
      </c>
      <c r="B33" s="14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</row>
    <row r="34" spans="1:14" ht="12.75" customHeight="1" x14ac:dyDescent="0.25">
      <c r="A34" s="320" t="str">
        <f>texty!A91</f>
        <v>úchytová lišta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14" ht="12.75" customHeight="1" x14ac:dyDescent="0.25">
      <c r="A35" s="320" t="str">
        <f>texty!A92</f>
        <v>spojovacia skrutka</v>
      </c>
      <c r="B35" s="14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14" ht="12.75" customHeight="1" x14ac:dyDescent="0.25">
      <c r="A36" s="320" t="str">
        <f>texty!A93</f>
        <v>horný profil rámu (vodiaca lišta)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14" ht="12.75" customHeight="1" x14ac:dyDescent="0.25">
      <c r="A37" s="320" t="str">
        <f>texty!A94</f>
        <v>horný profil rámu (vodiaca lišta)</v>
      </c>
      <c r="B37" s="22" t="e">
        <f>IF(M30="jiné","",VLOOKUP(M30,data!C335:D352,2,0))</f>
        <v>#VALUE!</v>
      </c>
      <c r="C37" s="474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14" ht="12.75" customHeight="1" x14ac:dyDescent="0.25">
      <c r="A38" s="320" t="str">
        <f>texty!A95</f>
        <v>horizontálny spodný profil rámu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14" ht="12.75" customHeight="1" x14ac:dyDescent="0.25">
      <c r="A39" s="320" t="str">
        <f>texty!A96</f>
        <v>horizontálny spodný profil rámu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K40" s="174"/>
    </row>
    <row r="41" spans="1:14" ht="12.75" customHeight="1" x14ac:dyDescent="0.25">
      <c r="A41" s="325" t="str">
        <f>texty!A66</f>
        <v>Voliteľné príslušenstvo:</v>
      </c>
      <c r="B41" s="14"/>
      <c r="D41" s="343" t="str">
        <f>texty!A33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</row>
    <row r="42" spans="1:14" ht="12.75" customHeight="1" x14ac:dyDescent="0.25">
      <c r="A42" s="320" t="str">
        <f>texty!A88</f>
        <v>pozicionér do horného vedenia</v>
      </c>
      <c r="B42" s="14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</row>
    <row r="43" spans="1:14" ht="12.75" customHeight="1" x14ac:dyDescent="0.25">
      <c r="A43" s="320" t="str">
        <f>texty!A86</f>
        <v xml:space="preserve">pozicionér </v>
      </c>
      <c r="B43" s="14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14" ht="12.75" customHeight="1" x14ac:dyDescent="0.25">
      <c r="A44" s="320" t="str">
        <f>texty!A228</f>
        <v> Tlmič dorazu MINI do 25 kg (pár)</v>
      </c>
      <c r="B44" s="14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14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4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spojovací profil H10-3metre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spojovacia skrutka</v>
      </c>
      <c r="B53" s="14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4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66"/>
      <c r="I57" s="364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66"/>
      <c r="I58" s="364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Ďalšie príslušenstvo</v>
      </c>
      <c r="E62" s="266"/>
      <c r="F62" s="266"/>
      <c r="G62" s="266"/>
      <c r="H62" s="22"/>
      <c r="I62" s="364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texty!A128</f>
        <v xml:space="preserve">strieborná 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texty!A129</f>
        <v>zlatá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CELKOM  (bez DPH)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texty!A130</f>
        <v>oliva</v>
      </c>
    </row>
    <row r="67" spans="1:14" ht="12.75" customHeight="1" x14ac:dyDescent="0.25">
      <c r="A67" s="337" t="str">
        <f>texty!A14</f>
        <v>Vaša poznámka: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M06/scAxc9oJliI2noyvNjgivwqGsDiuNamPH/BOJh2DoC5UsFtd2hvJHM1s08AGu0BDzcj/aOnUmHF2e2VrvQ==" saltValue="gonrYOJRuvo7EvicCSiD6g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64" priority="3">
      <formula>SUM($D$47:$D$48)&gt;0</formula>
    </cfRule>
  </conditionalFormatting>
  <conditionalFormatting sqref="D6">
    <cfRule type="expression" dxfId="362" priority="9">
      <formula>$D$4=4</formula>
    </cfRule>
    <cfRule type="expression" dxfId="361" priority="10">
      <formula>$D$4&lt;&gt;4</formula>
    </cfRule>
  </conditionalFormatting>
  <conditionalFormatting sqref="D53">
    <cfRule type="expression" dxfId="360" priority="1">
      <formula>IF($D$52&gt;0,IF($D$53=0,1,0),0)</formula>
    </cfRule>
  </conditionalFormatting>
  <conditionalFormatting sqref="G4">
    <cfRule type="expression" dxfId="359" priority="8">
      <formula>$D$4=4</formula>
    </cfRule>
  </conditionalFormatting>
  <conditionalFormatting sqref="I19:I20">
    <cfRule type="expression" dxfId="358" priority="16">
      <formula>$F$4=$M$65</formula>
    </cfRule>
    <cfRule type="expression" dxfId="357" priority="17">
      <formula>$F$4=$L$65</formula>
    </cfRule>
  </conditionalFormatting>
  <conditionalFormatting sqref="I21:I22">
    <cfRule type="expression" dxfId="356" priority="24">
      <formula>$F$4=$M$64</formula>
    </cfRule>
    <cfRule type="expression" dxfId="355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texty!A259</f>
        <v>Era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",7,".",62)</f>
        <v>Katalóg Kovania 2024 str. 7.62</v>
      </c>
      <c r="B3" s="318" t="str">
        <f>CONCATENATE(texty!A34," / max.        2 740 mm /")</f>
        <v>výška / max.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9" t="str">
        <f>texty!A52</f>
        <v>dodatočné odpočty výšky vypočítaných výplní pri použití deliacich profilov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8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992</v>
      </c>
      <c r="B21" s="375" t="s">
        <v>991</v>
      </c>
      <c r="C21" s="375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80"/>
      <c r="D34" s="24" t="str">
        <f>System10!D41</f>
        <v>zadajte počet: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5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80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80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Ďalšie príslušenstvo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Technický nákres tohoto systému</v>
      </c>
      <c r="B56" s="7"/>
      <c r="C56" s="7"/>
      <c r="D56" s="71" t="str">
        <f>texty!A15</f>
        <v>CELKOM  (bez DPH)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biela lesk</v>
      </c>
    </row>
    <row r="59" spans="1:13" ht="12.75" customHeight="1" x14ac:dyDescent="0.25">
      <c r="A59" s="695" t="str">
        <f>IF(M59=1,texty!A215,IF(J59&gt;0,texty!A214,""))</f>
        <v>niektoré položky sa vo vybranej dĺžke nevyrábajú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čierna mat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texty!A261</f>
        <v>Rekord (bezrámovo)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7" t="str">
        <f>CONCATENATE(texty!A243," ",7,".",62)</f>
        <v>Katalóg Kovania 2024 str. 7.62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>
        <v>2</v>
      </c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krídlo dverí: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Maximálna hmotnosť krídla je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rozmer výplne 18mm: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rozmer výplne 12mm: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rozmer zrkadla /na DTD 12mm/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dĺžka úchytkového profilu (+2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6" t="str">
        <f>texty!A78</f>
        <v>dodatočné odpočty výšky vypočítaných výplní pri použití deliacich profilov výplne: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8" t="s">
        <v>990</v>
      </c>
      <c r="B21" s="375" t="s">
        <v>991</v>
      </c>
      <c r="C21" s="375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partnerská zľava: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Objednávacie kódy, ceny: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kód</v>
      </c>
      <c r="C25" s="16" t="str">
        <f>+System10!C27</f>
        <v>názov</v>
      </c>
      <c r="D25" s="17" t="str">
        <f>+System10!D27</f>
        <v>ks</v>
      </c>
      <c r="E25" s="17" t="str">
        <f>+System10!E27</f>
        <v>cena/ks</v>
      </c>
      <c r="F25" s="17" t="str">
        <f>+System10!F27</f>
        <v>cena celkom</v>
      </c>
      <c r="G25" s="18" t="str">
        <f>+System10!G27</f>
        <v>celkom netto:</v>
      </c>
      <c r="I25" s="16" t="str">
        <f>texty!A29</f>
        <v>Poznámka: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Horný profil: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4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spodný profil: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4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záslepko spodného vedenia</v>
      </c>
      <c r="B28" s="15">
        <v>216362</v>
      </c>
      <c r="C28" s="23" t="str">
        <f>+VLOOKUP(B28,cennik!A:G,2,FALSE)</f>
        <v>SEVROLL 20233 záslepka spodného vedenia Simple/Blue priesvitná, guma</v>
      </c>
      <c r="D28" s="15">
        <f>CEILING(C4/1000,1)</f>
        <v>0</v>
      </c>
      <c r="E28" s="86">
        <f>+VLOOKUP(B28,cennik!A:G,3,FALSE)</f>
        <v>1.01488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4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horné vozíky (sady)</v>
      </c>
      <c r="B29" s="15">
        <v>349734</v>
      </c>
      <c r="C29" s="23" t="str">
        <f>+VLOOKUP(B29,cennik!A:G,2,FALSE)</f>
        <v>SEVROLL 10217 horný vozík Blue (pro lamino 18mm) bezrámový L+P</v>
      </c>
      <c r="D29" s="15">
        <f>+D4</f>
        <v>0</v>
      </c>
      <c r="E29" s="86">
        <f>+VLOOKUP(B29,cennik!A:G,3,FALSE)</f>
        <v>3.64316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4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spodné vozíky (sada)</v>
      </c>
      <c r="B30" s="15">
        <v>349735</v>
      </c>
      <c r="C30" s="23" t="str">
        <f>+VLOOKUP(B30,cennik!A:G,2,FALSE)</f>
        <v>SEVROLL 10219 spodný vozík Blue V bezrámový pre 18mm - 2ks</v>
      </c>
      <c r="D30" s="15">
        <f>+D4</f>
        <v>0</v>
      </c>
      <c r="E30" s="86">
        <f>+VLOOKUP(B30,cennik!A:G,3,FALSE)</f>
        <v>4.8141800000000003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4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dorazový kartáč</v>
      </c>
      <c r="B31" s="15">
        <v>98067</v>
      </c>
      <c r="C31" s="23" t="str">
        <f>+VLOOKUP(B31,cennik!A:G,2,FALSE)</f>
        <v>SEVROLL dorazová kefa zásuvná 14x4mm sivá</v>
      </c>
      <c r="D31" s="15">
        <f>CEILING((B4*D4*2/1000),1)</f>
        <v>0</v>
      </c>
      <c r="E31" s="86">
        <f>+VLOOKUP(B31,cennik!A:G,3,FALSE)</f>
        <v>0.2218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4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úchytová lišta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4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Voliteľné príslušenstvo:</v>
      </c>
      <c r="B34" s="7"/>
      <c r="C34" s="480"/>
      <c r="D34" s="24" t="str">
        <f>System10!D41</f>
        <v>zadajte počet:</v>
      </c>
      <c r="E34" s="90"/>
      <c r="F34" s="90"/>
      <c r="G34" s="89"/>
      <c r="I34" s="364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pozicionér do horného vedenia</v>
      </c>
      <c r="B35" s="7">
        <v>298035</v>
      </c>
      <c r="C35" s="23" t="str">
        <f>+VLOOKUP(B35,cennik!A:G,2,FALSE)</f>
        <v>SEVROLL 20326 Fix pozicionér pre horný vozík transparentný</v>
      </c>
      <c r="D35" s="27"/>
      <c r="E35" s="86">
        <f>+VLOOKUP(B35,cennik!A:G,3,FALSE)</f>
        <v>1.0929500000000001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>pozicionér</v>
      </c>
      <c r="B36" s="595">
        <v>229681</v>
      </c>
      <c r="C36" s="23" t="str">
        <f>+VLOOKUP(B36,cennik!A:G,2,FALSE)</f>
        <v>SEVROLL 10163 Simple/Blue pozicionér pre spodný vozík</v>
      </c>
      <c r="D36" s="27"/>
      <c r="E36" s="86">
        <f>+VLOOKUP(B36,cennik!A:G,3,FALSE)</f>
        <v>0.36431999999999998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skrutka k spodnémi vedeniu</v>
      </c>
      <c r="B37" s="7">
        <v>98019</v>
      </c>
      <c r="C37" s="23" t="str">
        <f>+VLOOKUP(B37,cennik!A:G,2,FALSE)</f>
        <v>SEVROLL 20041 skrutka 2,5x18mm polguľatá hlava zinok biely</v>
      </c>
      <c r="D37" s="27"/>
      <c r="E37" s="86">
        <f>+VLOOKUP(B37,cennik!A:G,3,FALSE)</f>
        <v>2.9409999999999999E-2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spojovací H21 profil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4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spojovací H28 profil Simple (18mm)</v>
      </c>
      <c r="B39" s="15" t="str">
        <f>IFERROR(+VLOOKUP(O7,data!C521:D523,2,0),"N/A")</f>
        <v>N/A</v>
      </c>
      <c r="C39" s="23" t="str">
        <f>IF(B39=data!D64,texty!A239,+VLOOKUP(B39,cennik!A:G,2,FALSE))</f>
        <v> v tejto farbe a dĺžke sa daný profil nevyrába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4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 Tlmič dorazu MINI do 25 kg (pár)</v>
      </c>
      <c r="B40" s="15">
        <v>318662</v>
      </c>
      <c r="C40" s="23" t="str">
        <f>+VLOOKUP(B40,cennik!A:G,2,FALSE)</f>
        <v>SEVROLL 20368-SV tlmič dorazu Mini SV25 (14-25kg)</v>
      </c>
      <c r="D40" s="27"/>
      <c r="E40" s="86">
        <f>+VLOOKUP(B40,cennik!A:G,3,FALSE)</f>
        <v>22.951930000000001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4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 Tlmič dorazu MINI do 40 kg (pár)</v>
      </c>
      <c r="B41" s="15">
        <v>283956</v>
      </c>
      <c r="C41" s="23" t="str">
        <f>+VLOOKUP(B41,cennik!A:G,2,FALSE)</f>
        <v>SEVROLL 20258-SV tlmič dorazu Mini SV40 (25 - 40kg)</v>
      </c>
      <c r="D41" s="27"/>
      <c r="E41" s="86">
        <f>+VLOOKUP(B41,cennik!A:G,3,FALSE)</f>
        <v>22.951930000000001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4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 Tlmič pre stredné krídlo do 25 kg</v>
      </c>
      <c r="B42" s="15">
        <v>318663</v>
      </c>
      <c r="C42" s="23" t="str">
        <f>+VLOOKUP(B42,cennik!A:G,2,FALSE)</f>
        <v>SEVROLL 20363-SV tlmič Central 10/18mm obojstranný 25kg</v>
      </c>
      <c r="D42" s="27"/>
      <c r="E42" s="86">
        <f>+VLOOKUP(B42,cennik!A:G,3,FALSE)</f>
        <v>49.156689999999998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 Tlmič pre stredné krídlo do 40 kg</v>
      </c>
      <c r="B43" s="15">
        <v>283955</v>
      </c>
      <c r="C43" s="23" t="str">
        <f>+VLOOKUP(B43,cennik!A:G,2,FALSE)</f>
        <v>SEVROLL 20319-SV tlmič Central 10/18mm obojstranný 25-40kg</v>
      </c>
      <c r="D43" s="27"/>
      <c r="E43" s="86">
        <f>+VLOOKUP(B43,cennik!A:G,3,FALSE)</f>
        <v>49.156689999999998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4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protiprachový kartáč</v>
      </c>
      <c r="B44" s="15">
        <v>305348</v>
      </c>
      <c r="C44" s="23" t="str">
        <f>+VLOOKUP(B44,cennik!A:G,2,FALSE)</f>
        <v>SEVROLL 20082-BL protiprachový kartáč zásuvný 4,8x9mm šedý</v>
      </c>
      <c r="D44" s="28"/>
      <c r="E44" s="86">
        <f>+VLOOKUP(B44,cennik!A:G,3,FALSE)</f>
        <v>0.23419999999999999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uholník mini 11x17mm - 1,7m</v>
      </c>
      <c r="B45" s="7" t="e">
        <f>+VLOOKUP(O7,data!C630:D640,2,0)</f>
        <v>#N/A</v>
      </c>
      <c r="C45" s="480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uholník mini 11x17mm - 2,35m</v>
      </c>
      <c r="B46" s="7" t="e">
        <f>+VLOOKUP(O7,data!C642:D652,2,0)</f>
        <v>#N/A</v>
      </c>
      <c r="C46" s="480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uholník mini 11x17mm - 3m</v>
      </c>
      <c r="B47" s="7" t="e">
        <f>+VLOOKUP(O7,data!C654:D664,2,0)</f>
        <v>#N/A</v>
      </c>
      <c r="C47" s="480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uholník K2 19x18mm - 1,7m</v>
      </c>
      <c r="B48" s="15" t="e">
        <f>+VLOOKUP(O7,data!C666:D675,2,0)</f>
        <v>#N/A</v>
      </c>
      <c r="C48" s="480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uholník K2 19x18mm - 2,35m</v>
      </c>
      <c r="B49" s="15" t="e">
        <f>+VLOOKUP(O7,data!C676:D685,2,0)</f>
        <v>#N/A</v>
      </c>
      <c r="C49" s="480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uholník K2 19x18mm - 3,00m</v>
      </c>
      <c r="B50" s="15" t="e">
        <f>+VLOOKUP(O7,data!C686:D695,2,0)</f>
        <v>#N/A</v>
      </c>
      <c r="C50" s="480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klínok pre dilatáciu výplne 16mm</v>
      </c>
      <c r="B51" s="15">
        <v>308631</v>
      </c>
      <c r="C51" s="480" t="str">
        <f>+VLOOKUP(B51,cennik!A:G,2,FALSE)</f>
        <v>SEVROLL 20252 klin pre lamino hrúbka 2mm (100 ks)</v>
      </c>
      <c r="D51" s="27"/>
      <c r="E51" s="193">
        <f>+VLOOKUP(B51,cennik!A:G,3,FALSE)</f>
        <v>8.7956400000000006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zámok posuvných dverí</v>
      </c>
      <c r="B52" s="15">
        <v>216363</v>
      </c>
      <c r="C52" s="480" t="str">
        <f>+VLOOKUP(B52,cennik!A:G,2,FALSE)</f>
        <v>SEVROLL 20356 zámok na posuvné dvere 10/18mm</v>
      </c>
      <c r="D52" s="27"/>
      <c r="E52" s="193">
        <f>+VLOOKUP(B52,cennik!A:G,3,FALSE)</f>
        <v>15.855560000000001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Ďalšie príslušenstvo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Technický nákres tohoto systému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CELKOM  (bez DPH)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 xml:space="preserve">strieborná </v>
      </c>
    </row>
    <row r="57" spans="1:13" ht="12.75" customHeight="1" x14ac:dyDescent="0.25">
      <c r="A57" s="70" t="str">
        <f>System10!A67</f>
        <v>Vaša poznámka:</v>
      </c>
      <c r="B57" s="703"/>
      <c r="C57" s="704"/>
      <c r="D57" s="704"/>
      <c r="E57" s="704"/>
      <c r="F57" s="704"/>
      <c r="G57" s="704"/>
      <c r="K57" s="4" t="str">
        <f>texty!A130</f>
        <v>oliva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čierna mat</v>
      </c>
    </row>
    <row r="59" spans="1:13" ht="12.75" customHeight="1" x14ac:dyDescent="0.25">
      <c r="A59" s="695" t="str">
        <f>IF(M59=1,texty!A215,IF(J59&gt;0,texty!A214,""))</f>
        <v>niektoré položky sa vo vybranej dĺžke nevyrábajú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texty!A258</f>
        <v>Era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7" t="str">
        <f>CONCATENATE(texty!A243," ",7,".",58)</f>
        <v>Katalóg Kovania 2024 str. 7.58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 t="str">
        <f>IF(D4=4,texty!A227,"")</f>
        <v/>
      </c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381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12" t="str">
        <f>texty!A78</f>
        <v>dodatočné odpočty výšky vypočítaných výplní pri použití deliacich profilov výplne: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7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Voliteľné príslušenstvo:</v>
      </c>
      <c r="B43" s="7"/>
      <c r="C43" s="480"/>
      <c r="D43" s="24" t="str">
        <f>System10!D41</f>
        <v>zadajte počet: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5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IFERROR(+VLOOKUP(O7,data!C521:D523,2,0),"N/A")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4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4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7" t="str">
        <f>IFERROR((CONCATENATE(texty!A7," ",D59," ",texty!A9)),"")</f>
        <v>Pokiaľ budete používať ako výplň sklo / zrkadlo, je nutné doobjednať tesnenie. Dĺžka tesnenia na jedno krídlo je   ks, pokiaľ je preskenných viac krídel, treba vynásobiť</v>
      </c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7"/>
      <c r="B58" s="717"/>
      <c r="C58" s="717"/>
      <c r="D58" s="717"/>
      <c r="E58" s="717"/>
      <c r="F58" s="717"/>
      <c r="G58" s="717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Potrebná dĺžka tesnenia pri celkovom presklení (nutné objednať celé metre)</v>
      </c>
      <c r="D59" s="35" t="str">
        <f>IFERROR((CEILING((B9*2+C9*2)/1000/0.2+2,1)),"")</f>
        <v/>
      </c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4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Potrebná dĺžka tesnenia pri celkovom presklení (nutné objednať celé metre)</v>
      </c>
      <c r="B61" s="42"/>
      <c r="C61" s="43"/>
      <c r="D61" s="42"/>
      <c r="E61" s="94"/>
      <c r="F61" s="94"/>
      <c r="G61" s="94"/>
      <c r="I61" s="364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3" t="str">
        <f>texty!A206</f>
        <v xml:space="preserve">Upevňovacie kliny Blue 40ks (sklo 4 mm) </v>
      </c>
      <c r="B62" s="7">
        <v>349856</v>
      </c>
      <c r="C62" s="23" t="str">
        <f>+VLOOKUP(B62,cennik!A:G,2,FALSE)</f>
        <v>SEVROLL 20361 upevňovací klin Blue 40ks (sklo 4mm)</v>
      </c>
      <c r="D62" s="41"/>
      <c r="E62" s="86">
        <f>+VLOOKUP(B62,cennik!A:G,3,FALSE)</f>
        <v>12.28267</v>
      </c>
      <c r="F62" s="86">
        <f>+E62*D62</f>
        <v>0</v>
      </c>
      <c r="G62" s="374">
        <f>+F62*(100-G28)/100</f>
        <v>0</v>
      </c>
      <c r="H62" s="7" t="str">
        <f>cennik!B2</f>
        <v>EUR</v>
      </c>
      <c r="I62" s="364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4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Ďalšie príslušenstvo</v>
      </c>
      <c r="E64" s="89"/>
      <c r="F64" s="89"/>
      <c r="G64" s="89"/>
      <c r="I64" s="364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Technický nákres tohoto systému</v>
      </c>
      <c r="B65" s="490">
        <v>128842</v>
      </c>
      <c r="C65" s="491" t="str">
        <f>VLOOKUP(B65,cennik!A:C,2,0)</f>
        <v>SEVROLL 20144 vrták stupňovitý 6,5/9,5mm</v>
      </c>
      <c r="D65" s="41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4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CELKOM  (bez DPH)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 xml:space="preserve">strieborná </v>
      </c>
    </row>
    <row r="68" spans="1:13" ht="12.75" customHeight="1" x14ac:dyDescent="0.25">
      <c r="A68" s="70" t="str">
        <f>System10!A67</f>
        <v>Vaša poznámka:</v>
      </c>
      <c r="B68" s="703"/>
      <c r="C68" s="704"/>
      <c r="D68" s="704"/>
      <c r="E68" s="704"/>
      <c r="F68" s="704"/>
      <c r="G68" s="704"/>
      <c r="K68" s="4" t="str">
        <f>texty!A130</f>
        <v>oliva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biela lesk</v>
      </c>
    </row>
    <row r="70" spans="1:13" ht="12.75" customHeight="1" x14ac:dyDescent="0.25">
      <c r="A70" s="695" t="str">
        <f>IF(M70=1,texty!A215,IF(J70&gt;0,texty!A214,""))</f>
        <v>niektoré položky sa vo vybranej dĺžke nevyrábajú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čierna mat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zdwvo5LNlVy7dkqU2hKrPXUIgJJ9QhosEtaTCjorkQjjsDI7W4ZICjCmUC0FadmZuU9vhxIBVvFFYx3M3zABXw==" saltValue="qqKW5TxNZDJniS6ULhuaBQ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D9" sqref="D9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7" t="str">
        <f>texty!A260</f>
        <v>Rekord (rámový)</v>
      </c>
      <c r="B2" s="50" t="str">
        <f>profil!T7</f>
        <v>Zákazník:, , IČO: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7" t="str">
        <f>CONCATENATE(texty!A243," ",5,".",77)</f>
        <v>Katalóg Kovania 2024 str. 5.77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471" t="str">
        <f>texty!A36</f>
        <v>počet dverí</v>
      </c>
      <c r="E3" s="8" t="str">
        <f>texty!A37</f>
        <v>farba</v>
      </c>
      <c r="F3" s="5"/>
      <c r="G3" s="5"/>
      <c r="K3" s="5"/>
    </row>
    <row r="4" spans="1:21" ht="25.5" customHeight="1" x14ac:dyDescent="0.25">
      <c r="A4" s="9" t="str">
        <f>texty!A70</f>
        <v>VNÚTORNÝ ROZMER SKRINE:</v>
      </c>
      <c r="B4" s="52"/>
      <c r="C4" s="52"/>
      <c r="D4" s="20"/>
      <c r="E4" s="20"/>
      <c r="F4" s="702"/>
      <c r="G4" s="702"/>
      <c r="H4" s="702"/>
      <c r="I4" s="702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70"/>
      <c r="B5" s="683" t="str">
        <f>texty!A46</f>
        <v>vypíšte tieto 4 políčka !!! Údaje v mm</v>
      </c>
      <c r="C5" s="683"/>
      <c r="D5" s="683"/>
      <c r="E5" s="683"/>
      <c r="F5" s="702"/>
      <c r="G5" s="702"/>
      <c r="H5" s="702"/>
      <c r="I5" s="702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600"/>
      <c r="D6" s="211"/>
      <c r="E6" s="7"/>
      <c r="F6" s="702"/>
      <c r="G6" s="702"/>
      <c r="H6" s="702"/>
      <c r="I6" s="702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krídlo dverí: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V prípade použitia skla ako výplne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rozmer výplne 18mm: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je treba použiť bezpečnostné sklo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rozmer zrkadla / skla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alebo sklo zabezpečiť ochrannou fóliou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dĺžka vodiacej a krycej lišty krídla</v>
      </c>
      <c r="B10" s="53"/>
      <c r="C10" s="56" t="str">
        <f>IFERROR((C7-57),"")</f>
        <v/>
      </c>
      <c r="D10" s="7"/>
      <c r="E10" s="7"/>
      <c r="F10" s="3" t="str">
        <f>texty!A44</f>
        <v>Maximálna hmotnosť krídla je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Horný/spodný profil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úchytová lišta</v>
      </c>
      <c r="B12" s="53" t="str">
        <f>+B7</f>
        <v/>
      </c>
      <c r="C12" s="382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C13" s="612" t="str">
        <f>texty!A78</f>
        <v>dodatočné odpočty výšky vypočítaných výplní pri použití deliacich profilov výplne: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6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6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6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6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7" t="str">
        <f>texty!A242</f>
        <v>dilatácia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partnerská zľava: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Objednávacie kódy, ceny: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kód</v>
      </c>
      <c r="C29" s="16" t="str">
        <f>+System10!C27</f>
        <v>názov</v>
      </c>
      <c r="D29" s="17" t="str">
        <f>+System10!D27</f>
        <v>ks</v>
      </c>
      <c r="E29" s="17" t="str">
        <f>+System10!E27</f>
        <v>cena/ks</v>
      </c>
      <c r="F29" s="17" t="str">
        <f>+System10!F27</f>
        <v>cena celkom</v>
      </c>
      <c r="G29" s="18" t="str">
        <f>+System10!G27</f>
        <v>celkom netto:</v>
      </c>
      <c r="I29" s="16" t="str">
        <f>texty!A29</f>
        <v>Poznámka: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Horný profil: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4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spodný profil: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4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záslepko spodného vedenia</v>
      </c>
      <c r="B32" s="15">
        <v>216362</v>
      </c>
      <c r="C32" s="23" t="str">
        <f>+VLOOKUP(B32,cennik!A:G,2,FALSE)</f>
        <v>SEVROLL 20233 záslepka spodného vedenia Simple/Blue priesvitná, guma</v>
      </c>
      <c r="D32" s="15">
        <f>CEILING(C4/1000,1)</f>
        <v>0</v>
      </c>
      <c r="E32" s="86">
        <f>+VLOOKUP(B32,cennik!A:G,3,FALSE)</f>
        <v>1.01488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4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horné vozíky (sady)</v>
      </c>
      <c r="B33" s="15">
        <v>349732</v>
      </c>
      <c r="C33" s="23" t="str">
        <f>+VLOOKUP(B33,cennik!A:G,2,FALSE)</f>
        <v>SEVROLL 10218 horný vozík Blue (pro lamino 18mm) rámový L+P</v>
      </c>
      <c r="D33" s="15">
        <f>+D4</f>
        <v>0</v>
      </c>
      <c r="E33" s="86">
        <f>+VLOOKUP(B33,cennik!A:G,3,FALSE)</f>
        <v>3.64316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4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spodné vozíky (sada)</v>
      </c>
      <c r="B34" s="15">
        <v>229446</v>
      </c>
      <c r="C34" s="23" t="str">
        <f>+VLOOKUP(B34,cennik!A:G,2,FALSE)</f>
        <v>SEVROLL 10223 spodný vozík Simple/Blue V (rámový systém) - 2ks</v>
      </c>
      <c r="D34" s="15">
        <f>+D4</f>
        <v>0</v>
      </c>
      <c r="E34" s="86">
        <f>+VLOOKUP(B34,cennik!A:G,3,FALSE)</f>
        <v>2.73237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4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dorazový kartáč</v>
      </c>
      <c r="B35" s="15">
        <v>98067</v>
      </c>
      <c r="C35" s="23" t="str">
        <f>+VLOOKUP(B35,cennik!A:G,2,FALSE)</f>
        <v>SEVROLL dorazová kefa zásuvná 14x4mm sivá</v>
      </c>
      <c r="D35" s="15">
        <f>CEILING((B4*D4*2/1000),1)</f>
        <v>0</v>
      </c>
      <c r="E35" s="86">
        <f>+VLOOKUP(B35,cennik!A:G,3,FALSE)</f>
        <v>0.2218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4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úchytová lišta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4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spojovacia skrutka</v>
      </c>
      <c r="B37" s="15">
        <v>346726</v>
      </c>
      <c r="C37" s="23" t="str">
        <f>+VLOOKUP(B37,cennik!A:G,2,FALSE)</f>
        <v>SEVROLL 20371 skrutkovrut Blue 6,3x45</v>
      </c>
      <c r="D37" s="15">
        <f>+D4*4</f>
        <v>0</v>
      </c>
      <c r="E37" s="86">
        <f>+VLOOKUP(B37,cennik!A:G,3,FALSE)</f>
        <v>0.15614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4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horný profil rámu (vodiaca lišta)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4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horný profil rámu (vodiaca lišta)</v>
      </c>
      <c r="B39" s="7" t="e">
        <f>IF(L33&lt;&gt;"jiné",+VLOOKUP(L33,data!C391:D402,2,0),"")</f>
        <v>#VALUE!</v>
      </c>
      <c r="C39" s="480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4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horizontálny spodný profil rámu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4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horizontálny spodný profil rámu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4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80"/>
      <c r="E42" s="89"/>
      <c r="F42" s="89"/>
      <c r="G42" s="89"/>
      <c r="I42" s="364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Voliteľné príslušenstvo:</v>
      </c>
      <c r="B43" s="7"/>
      <c r="C43" s="480"/>
      <c r="D43" s="24" t="str">
        <f>System10!D41</f>
        <v>zadajte počet:</v>
      </c>
      <c r="E43" s="90"/>
      <c r="F43" s="90"/>
      <c r="G43" s="89"/>
      <c r="I43" s="364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pozicionér do horného vedenia</v>
      </c>
      <c r="B44" s="7">
        <v>298035</v>
      </c>
      <c r="C44" s="23" t="str">
        <f>+VLOOKUP(B44,cennik!A:G,2,FALSE)</f>
        <v>SEVROLL 20326 Fix pozicionér pre horný vozík transparentný</v>
      </c>
      <c r="D44" s="27"/>
      <c r="E44" s="86">
        <f>+VLOOKUP(B44,cennik!A:G,3,FALSE)</f>
        <v>1.0929500000000001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4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>pozicionér</v>
      </c>
      <c r="B45" s="595">
        <v>229681</v>
      </c>
      <c r="C45" s="23" t="str">
        <f>+VLOOKUP(B45,cennik!A:G,2,FALSE)</f>
        <v>SEVROLL 10163 Simple/Blue pozicionér pre spodný vozík</v>
      </c>
      <c r="D45" s="27"/>
      <c r="E45" s="86">
        <f>+VLOOKUP(B45,cennik!A:G,3,FALSE)</f>
        <v>0.36431999999999998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4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skrutka k spodnémi vedeniu</v>
      </c>
      <c r="B46" s="7">
        <v>98019</v>
      </c>
      <c r="C46" s="23" t="str">
        <f>+VLOOKUP(B46,cennik!A:G,2,FALSE)</f>
        <v>SEVROLL 20041 skrutka 2,5x18mm polguľatá hlava zinok biely</v>
      </c>
      <c r="D46" s="27"/>
      <c r="E46" s="86">
        <f>+VLOOKUP(B46,cennik!A:G,3,FALSE)</f>
        <v>2.9409999999999999E-2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4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spojovací H21 profil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4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spojovací H28 profil Simple (18mm)</v>
      </c>
      <c r="B48" s="15" t="str">
        <f>IFERROR(VLOOKUP(O7,data!C521:D523,2,0),"N/A")</f>
        <v>N/A</v>
      </c>
      <c r="C48" s="23" t="str">
        <f>IF(B48=data!D64,texty!A239,+VLOOKUP(B48,cennik!A:G,2,FALSE))</f>
        <v> v tejto farbe a dĺžke sa daný profil nevyrába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4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spojovacia skrutka</v>
      </c>
      <c r="B49" s="15">
        <v>346726</v>
      </c>
      <c r="C49" s="23" t="str">
        <f>+VLOOKUP(B49,cennik!A:G,2,FALSE)</f>
        <v>SEVROLL 20371 skrutkovrut Blue 6,3x45</v>
      </c>
      <c r="D49" s="28"/>
      <c r="E49" s="86">
        <f>+VLOOKUP(B49,cennik!A:G,3,FALSE)</f>
        <v>0.15614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4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 Tlmič dorazu MINI do 25 kg (pár)</v>
      </c>
      <c r="B50" s="15">
        <v>318662</v>
      </c>
      <c r="C50" s="23" t="str">
        <f>+VLOOKUP(B50,cennik!A:G,2,FALSE)</f>
        <v>SEVROLL 20368-SV tlmič dorazu Mini SV25 (14-25kg)</v>
      </c>
      <c r="D50" s="27"/>
      <c r="E50" s="86">
        <f>+VLOOKUP(B50,cennik!A:G,3,FALSE)</f>
        <v>22.951930000000001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4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 Tlmič dorazu MINI do 40 kg (pár)</v>
      </c>
      <c r="B51" s="15">
        <v>283956</v>
      </c>
      <c r="C51" s="23" t="str">
        <f>+VLOOKUP(B51,cennik!A:G,2,FALSE)</f>
        <v>SEVROLL 20258-SV tlmič dorazu Mini SV40 (25 - 40kg)</v>
      </c>
      <c r="D51" s="27"/>
      <c r="E51" s="86">
        <f>+VLOOKUP(B51,cennik!A:G,3,FALSE)</f>
        <v>22.951930000000001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4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 Tlmič pre stredné krídlo do 25 kg</v>
      </c>
      <c r="B52" s="15">
        <v>318663</v>
      </c>
      <c r="C52" s="23" t="str">
        <f>+VLOOKUP(B52,cennik!A:G,2,FALSE)</f>
        <v>SEVROLL 20363-SV tlmič Central 10/18mm obojstranný 25kg</v>
      </c>
      <c r="D52" s="27"/>
      <c r="E52" s="86">
        <f>+VLOOKUP(B52,cennik!A:G,3,FALSE)</f>
        <v>49.156689999999998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4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 Tlmič pre stredné krídlo do 40 kg</v>
      </c>
      <c r="B53" s="15">
        <v>283955</v>
      </c>
      <c r="C53" s="23" t="str">
        <f>+VLOOKUP(B53,cennik!A:G,2,FALSE)</f>
        <v>SEVROLL 20319-SV tlmič Central 10/18mm obojstranný 25-40kg</v>
      </c>
      <c r="D53" s="27"/>
      <c r="E53" s="86">
        <f>+VLOOKUP(B53,cennik!A:G,3,FALSE)</f>
        <v>49.156689999999998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4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protiprachový kartáč</v>
      </c>
      <c r="B54" s="15">
        <v>305348</v>
      </c>
      <c r="C54" s="23" t="str">
        <f>+VLOOKUP(B54,cennik!A:G,2,FALSE)</f>
        <v>SEVROLL 20082-BL protiprachový kartáč zásuvný 4,8x9mm šedý</v>
      </c>
      <c r="D54" s="28"/>
      <c r="E54" s="86">
        <f>+VLOOKUP(B54,cennik!A:G,3,FALSE)</f>
        <v>0.23419999999999999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4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4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7" t="str">
        <f>IFERROR((CONCATENATE(texty!A7," ",D58," ",texty!A9)),"")</f>
        <v>Pokiaľ budete používať ako výplň sklo / zrkadlo, je nutné doobjednať tesnenie. Dĺžka tesnenia na jedno krídlo je   ks, pokiaľ je preskenných viac krídel, treba vynásobiť</v>
      </c>
      <c r="B56" s="717"/>
      <c r="C56" s="717"/>
      <c r="D56" s="717"/>
      <c r="E56" s="717"/>
      <c r="F56" s="717"/>
      <c r="G56" s="717"/>
      <c r="I56" s="364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7"/>
      <c r="B57" s="717"/>
      <c r="C57" s="717"/>
      <c r="D57" s="717"/>
      <c r="E57" s="717"/>
      <c r="F57" s="717"/>
      <c r="G57" s="717"/>
      <c r="I57" s="364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Potrebná dĺžka tesnenia pri celkovom presklení (nutné objednať celé metre)</v>
      </c>
      <c r="D58" s="35" t="str">
        <f>IFERROR((CEILING((B9*2+C9*2)/1000/0.2+2,1)),"")</f>
        <v/>
      </c>
      <c r="E58" s="89"/>
      <c r="F58" s="89"/>
      <c r="G58" s="89"/>
      <c r="I58" s="364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4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Potrebná dĺžka tesnenia pri celkovom presklení (nutné objednať celé metre)</v>
      </c>
      <c r="B60" s="42"/>
      <c r="C60" s="43"/>
      <c r="D60" s="42"/>
      <c r="E60" s="94"/>
      <c r="F60" s="94"/>
      <c r="G60" s="94"/>
      <c r="I60" s="364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3" t="str">
        <f>texty!A206</f>
        <v xml:space="preserve">Upevňovacie kliny Blue 40ks (sklo 4 mm) </v>
      </c>
      <c r="B61" s="7">
        <v>349856</v>
      </c>
      <c r="C61" s="23" t="str">
        <f>+VLOOKUP(B61,cennik!A:G,2,FALSE)</f>
        <v>SEVROLL 20361 upevňovací klin Blue 40ks (sklo 4mm)</v>
      </c>
      <c r="D61" s="41"/>
      <c r="E61" s="86">
        <f>+VLOOKUP(B61,cennik!A:G,3,FALSE)</f>
        <v>12.28267</v>
      </c>
      <c r="F61" s="86">
        <f>+E61*D61</f>
        <v>0</v>
      </c>
      <c r="G61" s="374">
        <f>+F61*(100-G28)/100</f>
        <v>0</v>
      </c>
      <c r="H61" s="7" t="str">
        <f>cennik!B2</f>
        <v>EUR</v>
      </c>
      <c r="I61" s="364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4"/>
      <c r="H62" s="7"/>
      <c r="I62" s="364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Ďalšie príslušenstvo</v>
      </c>
      <c r="E63" s="193"/>
      <c r="F63" s="193"/>
      <c r="G63" s="193"/>
      <c r="H63" s="7"/>
      <c r="I63" s="364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Technický nákres tohoto systému</v>
      </c>
      <c r="B64" s="492">
        <v>128842</v>
      </c>
      <c r="C64" s="491" t="str">
        <f>VLOOKUP(B64,cennik!A:C,2,0)</f>
        <v>SEVROLL 20144 vrták stupňovitý 6,5/9,5mm</v>
      </c>
      <c r="D64" s="41"/>
      <c r="E64" s="86">
        <f>+VLOOKUP(B64,cennik!A:G,3,FALSE)</f>
        <v>26.752659999999999</v>
      </c>
      <c r="F64" s="91">
        <f>+CEILING(D64,1)*E64</f>
        <v>0</v>
      </c>
      <c r="G64" s="374">
        <f>+F64</f>
        <v>0</v>
      </c>
      <c r="H64" s="7" t="str">
        <f>cennik!B2</f>
        <v>EUR</v>
      </c>
      <c r="I64" s="364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CELKOM  (bez DPH)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 xml:space="preserve">strieborná </v>
      </c>
    </row>
    <row r="67" spans="1:13" ht="12.75" customHeight="1" x14ac:dyDescent="0.25">
      <c r="A67" s="70" t="str">
        <f>System10!A67</f>
        <v>Vaša poznámka:</v>
      </c>
      <c r="B67" s="703"/>
      <c r="C67" s="704"/>
      <c r="D67" s="704"/>
      <c r="E67" s="704"/>
      <c r="F67" s="704"/>
      <c r="G67" s="704"/>
      <c r="K67" s="4" t="str">
        <f>texty!A130</f>
        <v>oliva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čierna mat</v>
      </c>
    </row>
    <row r="69" spans="1:13" ht="12.75" customHeight="1" x14ac:dyDescent="0.25">
      <c r="A69" s="695" t="str">
        <f>IF(M69=1,texty!A215,IF(J69&gt;0,texty!A214,""))</f>
        <v>niektoré položky sa vo vybranej dĺžke nevyrábajú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5" t="str">
        <f>texty!$A$21</f>
        <v>partnerská zľava:</v>
      </c>
    </row>
    <row r="73" spans="1:6" x14ac:dyDescent="0.25">
      <c r="F73" s="131">
        <f>profil!C$15</f>
        <v>0</v>
      </c>
    </row>
    <row r="74" spans="1:6" ht="26.4" x14ac:dyDescent="0.25">
      <c r="C74" s="406" t="str">
        <f>texty!A33</f>
        <v>zadajte počet:</v>
      </c>
      <c r="D74" s="157" t="str">
        <f>texty!$A$18</f>
        <v>cena/ks</v>
      </c>
      <c r="E74" s="157" t="str">
        <f>texty!$A$19</f>
        <v>cena celkom</v>
      </c>
    </row>
    <row r="75" spans="1:6" x14ac:dyDescent="0.25">
      <c r="A75">
        <v>222761</v>
      </c>
      <c r="B75" t="str">
        <f>VLOOKUP(A75,cennik!A:C,2,0)</f>
        <v>SEVROLL šablóna pre vozíky DTD 18mm</v>
      </c>
      <c r="C75" s="27"/>
      <c r="D75">
        <f>+VLOOKUP(A75,cennik!$A:$G,3,FALSE)</f>
        <v>4.0829800000000001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CELKOM  (bez DPH)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/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7" t="s">
        <v>2626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7" t="str">
        <f>CONCATENATE(texty!A243," ",7,".",23)</f>
        <v>Katalóg Kovania 2024 str. 7.23</v>
      </c>
      <c r="B3" s="318" t="str">
        <f>CONCATENATE(texty!A34," / max.         2 740 mm /")</f>
        <v>výška / max.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I3" s="22"/>
      <c r="L3" s="5"/>
    </row>
    <row r="4" spans="1:22" ht="24" customHeight="1" x14ac:dyDescent="0.25">
      <c r="A4" s="321" t="str">
        <f>texty!A70</f>
        <v>VNÚTORNÝ ROZMER SKRINE: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je treba použiť bezpečnostné sklo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601" t="str">
        <f>texty!A242</f>
        <v>dilatácia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partnerská zľava: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+VLOOKUP(B31,cennik!A3:G984,2,FALSE)</f>
        <v>SEVROLL 10202 horný vozík 10mm asymetrický L+P</v>
      </c>
      <c r="D31" s="15">
        <f>IF((D50+D51)&gt;D4,0,D4-(D50+D51))</f>
        <v>0</v>
      </c>
      <c r="E31" s="86">
        <f>+VLOOKUP(B31,cennik!A:G,3,FALSE)</f>
        <v>5.5948599999999997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IF(F4=M68,328321,229441)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4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úchytová lišta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horný profil rámu (vodiaca lišta)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horný profil rámu (vodiaca lišta)</v>
      </c>
      <c r="B37" s="22" t="e">
        <f>IF(M30&lt;&gt;"jiné",+VLOOKUP(M30,data!C335:D366,2,0),"")</f>
        <v>#VALUE!</v>
      </c>
      <c r="C37" s="473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horizontálny spodný profil rámu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horizontálny spodný profil rámu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4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C41" s="19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skrutka k spodnémi vedeniu</v>
      </c>
      <c r="B49" s="15">
        <v>98019</v>
      </c>
      <c r="C49" s="23" t="str">
        <f>+VLOOKUP(B49,cennik!A:G,2,FALSE)</f>
        <v>SEVROLL 20041 skrutka 2,5x18mm polguľatá hlava zinok biely</v>
      </c>
      <c r="D49" s="278"/>
      <c r="E49" s="86">
        <f>+VLOOKUP(B49,cennik!A:G,3,FALSE)</f>
        <v>2.9409999999999999E-2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tlmič dorazu (pár) 25 kg</v>
      </c>
      <c r="B50" s="22">
        <v>227185</v>
      </c>
      <c r="C50" s="23" t="str">
        <f>+VLOOKUP(B50,cennik!A:G,2,FALSE)</f>
        <v>K-SEVROLL tlmič dorazu 10/18mm 14-25kg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tlmič dorazu (pár) 50 kg</v>
      </c>
      <c r="B51" s="22">
        <v>227187</v>
      </c>
      <c r="C51" s="23" t="str">
        <f>+VLOOKUP(B51,cennik!A:G,2,FALSE)</f>
        <v>K-SEVROLL tlmič dorazu 10/18mm 25-50kg L+P</v>
      </c>
      <c r="D51" s="278"/>
      <c r="E51" s="86">
        <f>+VLOOKUP(B51,cennik!A:G,3,FALSE)</f>
        <v>25.710319999999999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4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spojovací profil H10-3metre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spojovací profil H30-3metre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8" t="e">
        <f>IF(B53=data!D73,0,+VLOOKUP(B53,cennik!A:G,3,FALSE))</f>
        <v>#N/A</v>
      </c>
      <c r="F53" s="368" t="e">
        <f>+E53*D53</f>
        <v>#N/A</v>
      </c>
      <c r="G53" s="369" t="e">
        <f>+F53*(100-G26)/100</f>
        <v>#N/A</v>
      </c>
      <c r="H53" s="22" t="str">
        <f>cennik!B2</f>
        <v>EUR</v>
      </c>
      <c r="I53" s="364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spojovacia skrutka</v>
      </c>
      <c r="B54" s="15">
        <v>89244</v>
      </c>
      <c r="C54" s="23" t="str">
        <f>+VLOOKUP(B54,cennik!A:G,2,FALSE)</f>
        <v>SEVROLL 20001 skrutkovrut 6,3x32 SEVROLL a Simple</v>
      </c>
      <c r="D54" s="354"/>
      <c r="E54" s="86">
        <f>+VLOOKUP(B54,cennik!A:G,3,FALSE)</f>
        <v>0.15614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protiprachový kartáč</v>
      </c>
      <c r="B55" s="15">
        <v>95946</v>
      </c>
      <c r="C55" s="23" t="str">
        <f>+VLOOKUP(B55,cennik!A:G,2,FALSE)</f>
        <v>SEVROLL protiprach.kartáč zásuvný 4,8x13mm</v>
      </c>
      <c r="D55" s="354"/>
      <c r="E55" s="86">
        <f>+VLOOKUP(B55,cennik!A:G,3,FALSE)</f>
        <v>0.20741000000000001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4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zámok posuvných dverí</v>
      </c>
      <c r="B56" s="15">
        <v>216363</v>
      </c>
      <c r="C56" s="23" t="str">
        <f>+VLOOKUP(B56,cennik!A:G,2,FALSE)</f>
        <v>SEVROLL 20356 zámok na posuvné dvere 10/18mm</v>
      </c>
      <c r="D56" s="354"/>
      <c r="E56" s="86">
        <f>+VLOOKUP(B56,cennik!A:G,3,FALSE)</f>
        <v>15.855560000000001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4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4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Potrebná dĺžka tesnenia pri celkovom presklení (nutné objednať celé metre)</v>
      </c>
      <c r="D59" s="334" t="str">
        <f>IFERROR((CEILING(((B9+C9)*2/1000*D4),1)),"")</f>
        <v/>
      </c>
      <c r="E59" s="266"/>
      <c r="F59" s="266"/>
      <c r="G59" s="266"/>
      <c r="H59" s="266"/>
      <c r="I59" s="364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(pri kombináciach s H profilmi je nutné pripočítať potrebnú dĺžku - tesnenie musí byť po celom odvode každého skla</v>
      </c>
      <c r="B60" s="346"/>
      <c r="C60" s="347"/>
      <c r="D60" s="346"/>
      <c r="E60" s="336"/>
      <c r="F60" s="336"/>
      <c r="G60" s="336"/>
      <c r="H60" s="266"/>
      <c r="I60" s="364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tesnenie na sklo 4mm</v>
      </c>
      <c r="B61" s="15">
        <v>89238</v>
      </c>
      <c r="C61" s="23" t="str">
        <f>+VLOOKUP(B61,cennik!A:G,2,FALSE)</f>
        <v>SEVROLL 20031-SV tesnenie na sklo 10/4mm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tesnenie na sklo 4,5 mm</v>
      </c>
      <c r="B62" s="15">
        <v>135164</v>
      </c>
      <c r="C62" s="23" t="str">
        <f>+VLOOKUP(B62,cennik!A:G,2,FALSE)</f>
        <v>SEVROLL 20032-SV tesnenie na sklo 10/4,5mm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tesnenie na sklo 6mm</v>
      </c>
      <c r="B63" s="15">
        <v>89243</v>
      </c>
      <c r="C63" s="23" t="str">
        <f>+VLOOKUP(B63,cennik!A:G,2,FALSE)</f>
        <v>SEVROLL 20033-SV tesnenie na sklo 10/6mm</v>
      </c>
      <c r="D63" s="355"/>
      <c r="E63" s="86">
        <f>+VLOOKUP(B63,cennik!A:G,3,FALSE)</f>
        <v>0.80669999999999997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4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Ďalšie príslušenstvo</v>
      </c>
      <c r="B64" s="19"/>
      <c r="C64" s="19"/>
      <c r="D64" s="19"/>
      <c r="E64" s="266"/>
      <c r="F64" s="266"/>
      <c r="G64" s="266"/>
      <c r="H64" s="22"/>
      <c r="I64" s="364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Technický nákres tohoto systému</v>
      </c>
      <c r="B65" s="475">
        <v>129677</v>
      </c>
      <c r="C65" s="348" t="str">
        <f>VLOOKUP(B65,cennik!A:C,2,0)</f>
        <v>SEVROLL 20173 montážny prípravok pre lamino 10mm malý</v>
      </c>
      <c r="D65" s="355"/>
      <c r="E65" s="86">
        <f>+VLOOKUP(B65,cennik!A:G,3,FALSE)</f>
        <v>5.0214600000000003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5">
        <v>128842</v>
      </c>
      <c r="C66" s="348" t="str">
        <f>VLOOKUP(B66,cennik!A:C,2,0)</f>
        <v>SEVROLL 20144 vrták stupňovitý 6,5/9,5mm</v>
      </c>
      <c r="D66" s="355"/>
      <c r="E66" s="86">
        <f>+VLOOKUP(B66,cennik!A:G,3,FALSE)</f>
        <v>26.752659999999999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4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CELKOM  (bez DPH)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 xml:space="preserve">strieborná </v>
      </c>
      <c r="M68" s="19" t="s">
        <v>968</v>
      </c>
    </row>
    <row r="69" spans="1:14" ht="12.75" customHeight="1" x14ac:dyDescent="0.25">
      <c r="A69" s="337" t="str">
        <f>System10!A67</f>
        <v>Vaša poznámka: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oliva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biela lesk</v>
      </c>
      <c r="M70" s="19"/>
    </row>
    <row r="71" spans="1:14" ht="12.75" customHeight="1" x14ac:dyDescent="0.25">
      <c r="A71" s="682" t="str">
        <f>IF(N71=1,texty!A215,IF(K71&gt;0,texty!A214,""))</f>
        <v>niektoré položky sa vo vybranej dĺžke nevyrábajú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čierna mat</v>
      </c>
      <c r="N71" s="4">
        <f>IF(ISERROR(K71),1,0)</f>
        <v>1</v>
      </c>
    </row>
    <row r="73" spans="1:14" ht="12.75" hidden="1" customHeight="1" x14ac:dyDescent="0.25">
      <c r="L73" s="4" t="str">
        <f>data!J9</f>
        <v>kart. čierna</v>
      </c>
    </row>
    <row r="74" spans="1:14" ht="12.75" hidden="1" customHeight="1" x14ac:dyDescent="0.25">
      <c r="L74" s="4" t="str">
        <f>data!J15</f>
        <v>biela lesk</v>
      </c>
    </row>
    <row r="75" spans="1:14" ht="12.75" hidden="1" customHeight="1" x14ac:dyDescent="0.25">
      <c r="L75" s="4" t="str">
        <f>data!J16</f>
        <v>čierna lesk</v>
      </c>
    </row>
    <row r="76" spans="1:14" ht="12.75" hidden="1" customHeight="1" x14ac:dyDescent="0.25">
      <c r="L76" s="4" t="str">
        <f>data!J17</f>
        <v>čierna mat</v>
      </c>
    </row>
  </sheetData>
  <sheetProtection algorithmName="SHA-512" hashValue="Gg4N2pVqK9xLhR66qHaWkal7b+oAUVotVS5Q0/d6IOtoQZzSLfJygoBrsGhWBqJ5n1qjZwSLw5IIMofH94l7rA==" saltValue="l5r+aYcTPK/edy2+i5+L6w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54" priority="3">
      <formula>SUM($D$47:$D$48)&gt;0</formula>
    </cfRule>
  </conditionalFormatting>
  <conditionalFormatting sqref="D6">
    <cfRule type="expression" dxfId="352" priority="7">
      <formula>$D$4=4</formula>
    </cfRule>
    <cfRule type="expression" dxfId="351" priority="8">
      <formula>$D$4&lt;&gt;4</formula>
    </cfRule>
  </conditionalFormatting>
  <conditionalFormatting sqref="D54">
    <cfRule type="expression" dxfId="350" priority="9" stopIfTrue="1">
      <formula>IF($D$53&gt;0,IF($D$54=0,1,0),0)</formula>
    </cfRule>
  </conditionalFormatting>
  <conditionalFormatting sqref="G4">
    <cfRule type="expression" dxfId="349" priority="6">
      <formula>$D$4=4</formula>
    </cfRule>
  </conditionalFormatting>
  <conditionalFormatting sqref="I19:I20">
    <cfRule type="expression" dxfId="348" priority="4">
      <formula>$F$4=$M$69</formula>
    </cfRule>
  </conditionalFormatting>
  <conditionalFormatting sqref="I21:I22">
    <cfRule type="expression" dxfId="347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8" t="str">
        <f>texty!A193</f>
        <v>Späť na úvodnú stránku</v>
      </c>
      <c r="B1" s="718"/>
      <c r="F1" s="272" t="str">
        <f>texty!$A$21</f>
        <v>partnerská zľava:</v>
      </c>
    </row>
    <row r="2" spans="1:7" x14ac:dyDescent="0.25">
      <c r="F2" s="279"/>
    </row>
    <row r="3" spans="1:7" ht="41.25" customHeight="1" x14ac:dyDescent="0.25">
      <c r="A3" s="268" t="str">
        <f>texty!A190</f>
        <v>Ďalšie príslušenstvo</v>
      </c>
      <c r="C3" s="275" t="str">
        <f>texty!A33</f>
        <v>zadajte počet:</v>
      </c>
      <c r="D3" s="272" t="str">
        <f>texty!$A$18</f>
        <v>cena/ks</v>
      </c>
      <c r="E3" s="272" t="str">
        <f>texty!$A$19</f>
        <v>cena celkom</v>
      </c>
    </row>
    <row r="4" spans="1:7" x14ac:dyDescent="0.25">
      <c r="A4" s="267">
        <v>129677</v>
      </c>
      <c r="B4" s="267" t="str">
        <f>VLOOKUP(A4,cennik!A:C,2,0)</f>
        <v>SEVROLL 20173 montážny prípravok pre lamino 10mm malý</v>
      </c>
      <c r="C4" s="278"/>
      <c r="D4" s="267">
        <f>+VLOOKUP(A4,cennik!$A:$G,3,FALSE)</f>
        <v>5.0214600000000003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vrták stupňovitý 6,5/9,5mm</v>
      </c>
      <c r="C5" s="278"/>
      <c r="D5" s="267">
        <f>+VLOOKUP(A5,cennik!$A:$G,3,FALSE)</f>
        <v>26.752659999999999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spona dorazovej kefky</v>
      </c>
      <c r="C6" s="278"/>
      <c r="D6" s="267">
        <f>+VLOOKUP(A6,cennik!$A:$G,3,FALSE)</f>
        <v>7.8070000000000001E-2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IF-krytka nalepovacia20mm 15ks 93336 hliník mat</v>
      </c>
      <c r="C7" s="278"/>
      <c r="D7" s="267">
        <f>+VLOOKUP(A7,cennik!$A:$G,3,FALSE)</f>
        <v>0.73299999999999998</v>
      </c>
      <c r="E7" s="273">
        <f>D7*C7</f>
        <v>0</v>
      </c>
      <c r="F7" s="273">
        <f>+E7</f>
        <v>0</v>
      </c>
      <c r="G7" s="267" t="str">
        <f>CONCATENATE("(20 ",texty!$A$17,"; ",texty!$A$18,")")</f>
        <v>(20 ks; cena/ks)</v>
      </c>
    </row>
    <row r="8" spans="1:7" x14ac:dyDescent="0.25">
      <c r="A8" s="267">
        <v>283283</v>
      </c>
      <c r="B8" s="19" t="str">
        <f>+VLOOKUP(A8,cennik!$A:$G,2,FALSE)</f>
        <v>IF-krytka nalepovacia13mm 20ks 06 oliva</v>
      </c>
      <c r="C8" s="278"/>
      <c r="D8" s="267">
        <f>+VLOOKUP(A8,cennik!$A:$G,3,FALSE)</f>
        <v>0.69445000000000001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ks; cena/ks)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Jednoduché vedenie pre systémy: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horné vedenie 1,7m strieborná</v>
      </c>
      <c r="C13" s="278"/>
      <c r="D13" s="273">
        <f>+VLOOKUP(A13,cennik!$A:$G,3,FALSE)</f>
        <v>14.962999999999999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horné vedenie 2,35m strieborná</v>
      </c>
      <c r="C14" s="278"/>
      <c r="D14" s="273">
        <f>+VLOOKUP(A14,cennik!$A:$G,3,FALSE)</f>
        <v>20.661940000000001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HORNÉ VEDENIE 3 m strieborná</v>
      </c>
      <c r="C15" s="278"/>
      <c r="D15" s="273">
        <f>+VLOOKUP(A15,cennik!$A:$G,3,FALSE)</f>
        <v>26.412939999999999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Hide M spodné vedenie Hide M 3m stri</v>
      </c>
      <c r="C18" s="278"/>
      <c r="D18" s="273">
        <f>+VLOOKUP(A18,cennik!$A:$G,3,FALSE)</f>
        <v>8.7435899999999993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Hide N spodné vedenie Hide N 3m stri</v>
      </c>
      <c r="C19" s="278"/>
      <c r="D19" s="273">
        <f>+VLOOKUP(A19,cennik!$A:$G,3,FALSE)</f>
        <v>12.72505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Hide M spodné vedenie 3m oliva</v>
      </c>
      <c r="C20" s="278"/>
      <c r="D20" s="273">
        <f>+VLOOKUP(A20,cennik!$A:$G,3,FALSE)</f>
        <v>10.61722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spodné vedenie 3m oliva</v>
      </c>
      <c r="C21" s="278"/>
      <c r="D21" s="273">
        <f>+VLOOKUP(A21,cennik!$A:$G,3,FALSE)</f>
        <v>14.91095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Hide N spodné vedenie 6m oliva</v>
      </c>
      <c r="C22" s="278"/>
      <c r="D22" s="273">
        <f>+VLOOKUP(A22,cennik!$A:$G,3,FALSE)</f>
        <v>29.821899999999999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koncovka k lište Hide N strieborná</v>
      </c>
      <c r="C23" s="278"/>
      <c r="D23" s="273">
        <f>+VLOOKUP(A23,cennik!$A:$G,3,FALSE)</f>
        <v>5.3866800000000001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20208 brzda k lište Hide N a M</v>
      </c>
      <c r="C24" s="278"/>
      <c r="D24" s="273">
        <f>+VLOOKUP(A24,cennik!$A:$G,3,FALSE)</f>
        <v>2.70635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SMART SPODNÉ VEDENIE 1,7M STRIE.</v>
      </c>
      <c r="C27" s="278"/>
      <c r="D27" s="273">
        <f>+VLOOKUP(A27,cennik!$A:$G,3,FALSE)</f>
        <v>3.9033899999999999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SMART SPODNÉ VEDENIE 2,35M STRIE</v>
      </c>
      <c r="C28" s="278"/>
      <c r="D28" s="273">
        <f>+VLOOKUP(A28,cennik!$A:$G,3,FALSE)</f>
        <v>5.3606600000000002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SMART SPODNÉ VEDENIE 3M STRIE.</v>
      </c>
      <c r="C29" s="278"/>
      <c r="D29" s="273">
        <f>+VLOOKUP(A29,cennik!$A:$G,3,FALSE)</f>
        <v>6.7919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 Ozdobné nalepovacie lišty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okrasná lišta S10 3m oliva</v>
      </c>
      <c r="C33" s="278"/>
      <c r="D33" s="273">
        <f>+VLOOKUP(A33,cennik!$A:$G,3,FALSE)</f>
        <v>4.2677100000000001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okrasná lišta S10 3m strieborná</v>
      </c>
      <c r="C34" s="278"/>
      <c r="D34" s="273">
        <f>+VLOOKUP(A34,cennik!$A:$G,3,FALSE)</f>
        <v>3.40896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okrasná lišta S20 3m oliva</v>
      </c>
      <c r="C36" s="278"/>
      <c r="D36" s="273">
        <f>+VLOOKUP(A36,cennik!$A:$G,3,FALSE)</f>
        <v>7.6246200000000002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okrasná lišta S20 3m strieborná</v>
      </c>
      <c r="C37" s="278"/>
      <c r="D37" s="273">
        <f>+VLOOKUP(A37,cennik!$A:$G,3,FALSE)</f>
        <v>6.2194000000000003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OCHRANNÉ FÓLIE NA SKLENENÉ VÝPLNE</v>
      </c>
    </row>
    <row r="43" spans="1:7" x14ac:dyDescent="0.25">
      <c r="A43" s="267">
        <v>203857</v>
      </c>
      <c r="B43" s="267" t="str">
        <f>VLOOKUP(A43,cennik!A:C,2,0)</f>
        <v>ANB-bezp.fólia 200mm/250m transparentná</v>
      </c>
      <c r="C43" s="278"/>
      <c r="D43" s="273">
        <f>+VLOOKUP(A43,cennik!$A:$G,3,FALSE)</f>
        <v>89.778189999999995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ANB-bezp.fólia 200mm/250m transparentná</v>
      </c>
      <c r="C44" s="278"/>
      <c r="D44" s="273">
        <f>+VLOOKUP(A44,cennik!$A:$G,3,FALSE)</f>
        <v>112.22274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ANB-bezp.fólia 300mm/250m transparentná</v>
      </c>
      <c r="C45" s="278"/>
      <c r="D45" s="273">
        <f>+VLOOKUP(A45,cennik!$A:$G,3,FALSE)</f>
        <v>134.66729000000001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ANB-bezp.fólia 400transparentná</v>
      </c>
      <c r="C46" s="278">
        <v>1</v>
      </c>
      <c r="D46" s="273">
        <f>+VLOOKUP(A46,cennik!$A:$G,3,FALSE)</f>
        <v>179.55637999999999</v>
      </c>
      <c r="E46" s="273">
        <f>D46*C46</f>
        <v>179.55637999999999</v>
      </c>
      <c r="F46" s="273">
        <f>+E46*(100-$F$2)/100</f>
        <v>179.55637999999999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ANB-bezp.fólia 500mm/250m transparentná</v>
      </c>
      <c r="C47" s="278"/>
      <c r="D47" s="273">
        <f>+VLOOKUP(A47,cennik!$A:$G,3,FALSE)</f>
        <v>224.44548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CELKOM  (bez DPH)</v>
      </c>
      <c r="D59" s="274"/>
      <c r="E59" s="274"/>
      <c r="F59" s="277">
        <f>SUM(F4:F47)</f>
        <v>179.55637999999999</v>
      </c>
    </row>
    <row r="60" spans="1:6" x14ac:dyDescent="0.25"/>
    <row r="61" spans="1:6" x14ac:dyDescent="0.25">
      <c r="A61" s="270" t="str">
        <f>texty!A216</f>
        <v>LAKOVANIE PROFILOV</v>
      </c>
    </row>
    <row r="62" spans="1:6" x14ac:dyDescent="0.25">
      <c r="A62" s="719" t="str">
        <f>texty!A217</f>
        <v>možnosť nalakovať do akéhokoľvek odtieňa RAL</v>
      </c>
      <c r="B62" s="719"/>
    </row>
    <row r="63" spans="1:6" x14ac:dyDescent="0.25">
      <c r="A63" s="719" t="str">
        <f>texty!A218</f>
        <v> voľba lesk / mat (pri objednávke je nutná špecifikácia)</v>
      </c>
      <c r="B63" s="719"/>
    </row>
    <row r="64" spans="1:6" x14ac:dyDescent="0.25">
      <c r="A64" s="719" t="str">
        <f>texty!A219</f>
        <v>obmedzenie na max dĺžku 3,85m</v>
      </c>
      <c r="B64" s="719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9">
        <v>494207</v>
      </c>
      <c r="B76" s="235" t="str">
        <f>+VLOOKUP(A76,cennik!$A:$G,2,FALSE)</f>
        <v>SEVROLL vzorkovník Úchytkové lišty 2023 - šanon</v>
      </c>
      <c r="C76" s="278"/>
      <c r="D76" s="273">
        <f>+VLOOKUP(A76,cennik!$A:$G,3,FALSE)</f>
        <v>39.99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CELKOM  (bez DPH)</v>
      </c>
      <c r="D78" s="274"/>
      <c r="E78" s="274"/>
      <c r="F78" s="277">
        <f>F76+F59</f>
        <v>179.55637999999999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/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2624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7" t="str">
        <f>CONCATENATE(texty!A243," ",7,".",24)</f>
        <v>Katalóg Kovania 2024 str. 7.24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 t="str">
        <f>texty!A242</f>
        <v>dilatácia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spodný profil: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úchytová lišta</v>
      </c>
      <c r="B34" s="452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horný profil rámu (vodiaca lišta)</v>
      </c>
      <c r="B37" s="15" t="e">
        <f>IF(M30="jiné","",+VLOOKUP(M30,data!C334:D351,2,0))</f>
        <v>#VALUE!</v>
      </c>
      <c r="C37" s="474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horizontálny spodný profil rámu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horizontálny spodný profil rámu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348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niektoré položky sa vo vybranej dĺžke nevyrábajú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L70" s="19" t="str">
        <f>texty!A128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oliva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copPiw/wpjJBIjE/Db7u/nMEW5Pejj1KkR1eY5lVrwh3A2QEl1ToNXTsDOJBYjHOejeVnXMF+f14gYEDGp4JUA==" saltValue="7KQrOvKmyvwUvF12GLtZS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6" priority="4">
      <formula>SUM($D$47:$D$48)&gt;0</formula>
    </cfRule>
  </conditionalFormatting>
  <conditionalFormatting sqref="D6">
    <cfRule type="expression" dxfId="344" priority="7">
      <formula>$D$4=4</formula>
    </cfRule>
    <cfRule type="expression" dxfId="343" priority="8">
      <formula>$D$4&lt;&gt;4</formula>
    </cfRule>
  </conditionalFormatting>
  <conditionalFormatting sqref="D53">
    <cfRule type="expression" dxfId="342" priority="1">
      <formula>IF(D52&gt;0,IF(D53=0,1,0),0)</formula>
    </cfRule>
  </conditionalFormatting>
  <conditionalFormatting sqref="G4">
    <cfRule type="expression" dxfId="341" priority="6">
      <formula>$D$4=4</formula>
    </cfRule>
  </conditionalFormatting>
  <conditionalFormatting sqref="I19:I20">
    <cfRule type="expression" dxfId="340" priority="5">
      <formula>$F$4=$M$71</formula>
    </cfRule>
  </conditionalFormatting>
  <conditionalFormatting sqref="I21:I22">
    <cfRule type="expression" dxfId="339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7" t="s">
        <v>42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7" t="str">
        <f>CONCATENATE(texty!A243," ",7,".",23)</f>
        <v>Katalóg Kovania 2024 str. 7.23</v>
      </c>
      <c r="B3" s="318" t="str">
        <f>CONCATENATE(texty!A34," / max.          2 740 mm /")</f>
        <v>výška / max.          2 740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601" t="str">
        <f>texty!A242</f>
        <v>dilatácia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partnerská zľava: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+System10!B27</f>
        <v>kód</v>
      </c>
      <c r="C27" s="18" t="str">
        <f>+System10!C27</f>
        <v>názov</v>
      </c>
      <c r="D27" s="17" t="str">
        <f>+System10!D27</f>
        <v>ks</v>
      </c>
      <c r="E27" s="17" t="str">
        <f>+System10!E27</f>
        <v>cena/ks</v>
      </c>
      <c r="F27" s="17" t="str">
        <f>+System10!F27</f>
        <v>cena celkom</v>
      </c>
      <c r="G27" s="18" t="str">
        <f>+System10!G27</f>
        <v>celkom netto:</v>
      </c>
      <c r="H27" s="22"/>
      <c r="I27" s="18" t="str">
        <f>texty!A29</f>
        <v>Poznámka:</v>
      </c>
      <c r="J27" s="16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texty!A81</f>
        <v>Horný profil: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texty!A82</f>
        <v>spodný profil:</v>
      </c>
      <c r="B29" s="15" t="str">
        <f>IFERROR((VLOOKUP(M5,data!C4:D88,2,0)),"N/A")</f>
        <v>N/A</v>
      </c>
      <c r="C29" s="23" t="str">
        <f>IF(B29=data!D64,texty!A239,+VLOOKUP(B29,cennik!A3:G9999,2,FALSE))</f>
        <v> v tejto farbe a dĺžke sa daný profil nevyrába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texty!A83</f>
        <v>krycí profil (maska):</v>
      </c>
      <c r="B30" s="15" t="str">
        <f>IFERROR((VLOOKUP(M5,data!C115:D210,2,0)),"N/A")</f>
        <v>N/A</v>
      </c>
      <c r="C30" s="23" t="str">
        <f>IF(B30=data!D64,texty!A239,+VLOOKUP(B30,cennik!A3:G9999,2,FALSE))</f>
        <v> v tejto farbe a dĺžke sa daný profil nevyrába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texty!A84</f>
        <v>horné vozíky (sady)</v>
      </c>
      <c r="B31" s="15">
        <v>228009</v>
      </c>
      <c r="C31" s="23" t="str">
        <f>+VLOOKUP(B31,cennik!A:G,2,FALSE)</f>
        <v>SEVROLL 10204 horný vozík Gemini symetrický 10mm - 2ks</v>
      </c>
      <c r="D31" s="15">
        <f>IF((D49+D50)&gt;D4,0,D4-(D49+D50))</f>
        <v>0</v>
      </c>
      <c r="E31" s="86">
        <f>+VLOOKUP(B31,cennik!A:G,3,FALSE)</f>
        <v>5.1758899999999999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texty!A85</f>
        <v>spodné vozíky (sada)</v>
      </c>
      <c r="B32" s="15">
        <f>IF(F4=M70,328321,229441)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4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4" ht="12.75" customHeight="1" x14ac:dyDescent="0.25">
      <c r="A34" s="320" t="str">
        <f>+System10!A34</f>
        <v>úchytová lišta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4" ht="12.75" customHeight="1" x14ac:dyDescent="0.25">
      <c r="A35" s="320" t="str">
        <f>+System10!A35</f>
        <v>spojovacia skrutka</v>
      </c>
      <c r="B35" s="22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4" ht="12.75" customHeight="1" x14ac:dyDescent="0.25">
      <c r="A36" s="320" t="str">
        <f>+System10!A36</f>
        <v>horný profil rámu (vodiaca lišta)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14" ht="12.75" customHeight="1" x14ac:dyDescent="0.25">
      <c r="A37" s="320" t="str">
        <f>+System10!A36</f>
        <v>horný profil rámu (vodiaca lišta)</v>
      </c>
      <c r="B37" s="15" t="e">
        <f>IF(M30="jiné","",+VLOOKUP(M30,data!C335:D355,2,0))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14" ht="12.75" customHeight="1" x14ac:dyDescent="0.25">
      <c r="A38" s="320" t="str">
        <f>+System10!A38</f>
        <v>horizontálny spodný profil rámu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14" ht="12.75" customHeight="1" x14ac:dyDescent="0.25">
      <c r="A39" s="320" t="str">
        <f>+System10!A39</f>
        <v>horizontálny spodný profil rámu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14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14" ht="12.75" customHeight="1" x14ac:dyDescent="0.25">
      <c r="A41" s="325" t="str">
        <f>texty!A66</f>
        <v>Voliteľné príslušenstvo:</v>
      </c>
      <c r="B41" s="15"/>
      <c r="D41" s="343" t="str">
        <f>+System10!D41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/>
    </row>
    <row r="42" spans="1:14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4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4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3"/>
    </row>
    <row r="45" spans="1:14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4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14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14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spojovací profil H10-3metre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spojovací profil H30-3metre</v>
      </c>
      <c r="B52" s="15" t="str">
        <f>IFERROR((VLOOKUP(P7,data!C508:D515,2,0)),"N/A")</f>
        <v>N/A</v>
      </c>
      <c r="C52" s="23" t="str">
        <f>IF(B52=data!D64,texty!A239,+VLOOKUP(B52,cennik!A3:G9999,2,FALSE))</f>
        <v> v tejto farbe a dĺžke sa daný profil nevyrába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zámok posuvných dverí</v>
      </c>
      <c r="B54" s="15">
        <v>216363</v>
      </c>
      <c r="C54" s="23" t="str">
        <f>+VLOOKUP(B54,cennik!A:G,2,FALSE)</f>
        <v>SEVROLL 20356 zámok na posuvné dvere 10/18mm</v>
      </c>
      <c r="D54" s="354"/>
      <c r="E54" s="86">
        <f>+VLOOKUP(B54,cennik!A:G,3,FALSE)</f>
        <v>15.855560000000001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4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4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Potrebná dĺžka tesnenia pri celkovom presklení (nutné objednať celé metre)</v>
      </c>
      <c r="D57" s="334" t="str">
        <f>IFERROR((CEILING(((B9+C9)*2/1000*D4),1)),"")</f>
        <v/>
      </c>
      <c r="E57" s="266"/>
      <c r="F57" s="266"/>
      <c r="G57" s="266"/>
      <c r="H57" s="22"/>
      <c r="I57" s="364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(pri kombináciach s H profilmi je nutné pripočítať potrebnú dĺžku - tesnenie musí byť po celom odvode každého skla</v>
      </c>
      <c r="B58" s="346"/>
      <c r="C58" s="347"/>
      <c r="D58" s="346"/>
      <c r="E58" s="336"/>
      <c r="F58" s="336"/>
      <c r="G58" s="336"/>
      <c r="H58" s="22"/>
      <c r="I58" s="364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tesnenie na sklo 4mm</v>
      </c>
      <c r="B59" s="15">
        <v>89238</v>
      </c>
      <c r="C59" s="23" t="str">
        <f>+VLOOKUP(B59,cennik!A:G,2,FALSE)</f>
        <v>SEVROLL 20031-SV tesnenie na sklo 10/4mm</v>
      </c>
      <c r="D59" s="355"/>
      <c r="E59" s="86">
        <f>+VLOOKUP(B59,cennik!A:G,3,FALSE)</f>
        <v>0.80669999999999997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tesnenie na sklo 4,5 mm</v>
      </c>
      <c r="B60" s="15">
        <v>135164</v>
      </c>
      <c r="C60" s="23" t="str">
        <f>+VLOOKUP(B60,cennik!A:G,2,FALSE)</f>
        <v>SEVROLL 20032-SV tesnenie na sklo 10/4,5mm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tesnenie na sklo 6mm</v>
      </c>
      <c r="B61" s="15">
        <v>89243</v>
      </c>
      <c r="C61" s="23" t="str">
        <f>+VLOOKUP(B61,cennik!A:G,2,FALSE)</f>
        <v>SEVROLL 20033-SV tesnenie na sklo 10/6mm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Ďalšie príslušenstvo</v>
      </c>
      <c r="B62" s="341"/>
      <c r="C62" s="341"/>
      <c r="E62" s="266"/>
      <c r="F62" s="266"/>
      <c r="G62" s="266"/>
      <c r="H62" s="22"/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Technický nákres tohoto systému</v>
      </c>
      <c r="B63" s="15">
        <v>129677</v>
      </c>
      <c r="C63" s="473" t="str">
        <f>VLOOKUP(B63,cennik!A:C,2,0)</f>
        <v>SEVROLL 20173 montážny prípravok pre lamino 10mm malý</v>
      </c>
      <c r="D63" s="355"/>
      <c r="E63" s="86">
        <f>+VLOOKUP(B63,cennik!A:G,3,FALSE)</f>
        <v>5.0214600000000003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73" t="str">
        <f>VLOOKUP(B64,cennik!A:C,2,0)</f>
        <v>SEVROLL 20144 vrták stupňovitý 6,5/9,5mm</v>
      </c>
      <c r="D64" s="355"/>
      <c r="E64" s="86">
        <f>+VLOOKUP(B64,cennik!A:G,3,FALSE)</f>
        <v>26.752659999999999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4" t="str">
        <f>IF(SUM(D49:D50)&gt;0,IF(C7&lt;(B4/3),texty!A212,""),"")</f>
        <v/>
      </c>
      <c r="B65" s="364"/>
      <c r="C65" s="364"/>
      <c r="D65" s="364"/>
      <c r="E65" s="364"/>
      <c r="F65" s="364"/>
      <c r="G65" s="364"/>
      <c r="H65" s="364"/>
      <c r="I65" s="364"/>
      <c r="J65" s="364"/>
      <c r="K65" s="174"/>
      <c r="L65" s="22"/>
    </row>
    <row r="66" spans="1:14" ht="13.2" x14ac:dyDescent="0.25">
      <c r="B66" s="15"/>
      <c r="C66" s="15"/>
      <c r="D66" s="350" t="str">
        <f>texty!A15</f>
        <v>CELKOM  (bez DPH)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Vaša poznámka: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niektoré položky sa vo vybranej dĺžke nevyrábajú</v>
      </c>
      <c r="B69" s="682"/>
      <c r="C69" s="682"/>
      <c r="D69" s="682"/>
      <c r="E69" s="682"/>
      <c r="F69" s="682"/>
      <c r="G69" s="682"/>
      <c r="H69" s="682"/>
      <c r="K69" s="364"/>
    </row>
    <row r="70" spans="1:14" ht="12.75" hidden="1" customHeight="1" x14ac:dyDescent="0.25">
      <c r="I70" s="19"/>
      <c r="J70" s="19"/>
      <c r="K70" s="22">
        <v>70</v>
      </c>
      <c r="L70" s="19" t="str">
        <f>texty!A128</f>
        <v xml:space="preserve">strieborná 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texty!A129</f>
        <v>zlatá</v>
      </c>
      <c r="M71" s="19" t="s">
        <v>42</v>
      </c>
    </row>
    <row r="72" spans="1:14" ht="12.75" hidden="1" customHeight="1" x14ac:dyDescent="0.25">
      <c r="I72" s="19"/>
      <c r="J72" s="19"/>
      <c r="L72" s="19" t="str">
        <f>texty!A130</f>
        <v>oliva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čierna mat</v>
      </c>
      <c r="N73" s="19">
        <f>IF(ISERROR(K73),1,0)</f>
        <v>1</v>
      </c>
    </row>
    <row r="74" spans="1:14" ht="12.75" hidden="1" customHeight="1" x14ac:dyDescent="0.25">
      <c r="L74" s="19" t="str">
        <f>data!J22</f>
        <v>čierna štrukturálna</v>
      </c>
    </row>
  </sheetData>
  <sheetProtection algorithmName="SHA-512" hashValue="nczcp4TDK3znHiN1bMPXt/VvEASGKizDdBst7kXFPjOa+eQ/jCP/zGl6FMeTwkuRW2cCzZf4ycTppxOYY9JFnw==" saltValue="WCPr946gO64WhwHoU+8Np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8" priority="4">
      <formula>SUM($D$47:$D$48)&gt;0</formula>
    </cfRule>
  </conditionalFormatting>
  <conditionalFormatting sqref="D6">
    <cfRule type="expression" dxfId="336" priority="14">
      <formula>$D$4=4</formula>
    </cfRule>
    <cfRule type="expression" dxfId="335" priority="15">
      <formula>$D$4&lt;&gt;4</formula>
    </cfRule>
  </conditionalFormatting>
  <conditionalFormatting sqref="D53">
    <cfRule type="expression" dxfId="334" priority="1">
      <formula>IF(D52&gt;0,IF(D53=0,1,0),0)</formula>
    </cfRule>
  </conditionalFormatting>
  <conditionalFormatting sqref="G4">
    <cfRule type="expression" dxfId="333" priority="13">
      <formula>$D$4=4</formula>
    </cfRule>
  </conditionalFormatting>
  <conditionalFormatting sqref="I19:I20">
    <cfRule type="expression" dxfId="332" priority="7">
      <formula>$F$4=$M$71</formula>
    </cfRule>
  </conditionalFormatting>
  <conditionalFormatting sqref="I21:I22">
    <cfRule type="expression" dxfId="331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7" t="s">
        <v>6585</v>
      </c>
      <c r="B2" s="317" t="str">
        <f>profil!T7</f>
        <v>Zákazník:, , IČO: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7" t="str">
        <f>CONCATENATE(texty!A243," ",7,".",24)</f>
        <v>Katalóg Kovania 2024 str. 7.24</v>
      </c>
      <c r="B3" s="318" t="str">
        <f>CONCATENATE(texty!A34," / max.         3 040 mm /")</f>
        <v>výška / max.         3 040 mm /</v>
      </c>
      <c r="C3" s="319" t="str">
        <f>CONCATENATE(texty!A35," / max 6 000 mm /")</f>
        <v>šírka / max 6 000 mm /</v>
      </c>
      <c r="D3" s="318" t="str">
        <f>texty!A36</f>
        <v>počet dverí</v>
      </c>
      <c r="E3" s="319" t="str">
        <f>texty!A37</f>
        <v>farba</v>
      </c>
      <c r="F3" s="318" t="str">
        <f>texty!A38</f>
        <v>typ spodného vedenia</v>
      </c>
      <c r="G3" s="22"/>
      <c r="H3" s="22"/>
      <c r="L3" s="22"/>
    </row>
    <row r="4" spans="1:22" ht="18" customHeight="1" x14ac:dyDescent="0.25">
      <c r="A4" s="321" t="str">
        <f>texty!A70</f>
        <v>VNÚTORNÝ ROZMER SKRINE: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vypíšte týchto 5 políčok !!! Údaje v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9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krídlo dverí: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V prípade použitia skla ako výplne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rozmer výplne 10 mm: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je treba použiť bezpečnostné sklo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rozmer zrkadla / skla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alebo sklo zabezpečiť ochrannou fóliou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dĺžka vodiacej a krycej lišty krídla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Horný/spodný profil</v>
      </c>
      <c r="B11" s="53"/>
      <c r="C11" s="172" t="str">
        <f>TRIM(C4)</f>
        <v/>
      </c>
      <c r="D11" s="15"/>
      <c r="E11" s="15"/>
      <c r="F11" s="15"/>
      <c r="G11" s="21" t="str">
        <f>texty!A43</f>
        <v>Maximálna hmotnosť krídla je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úchytová lišta</v>
      </c>
      <c r="B12" s="381" t="str">
        <f>+B7</f>
        <v/>
      </c>
      <c r="C12" s="382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Dĺžka tesnenia na sklo na jednom krídle</v>
      </c>
      <c r="B13" s="60"/>
      <c r="C13" s="384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604" t="str">
        <f>texty!A78</f>
        <v>dodatočné odpočty výšky vypočítaných výplní pri použití deliacich profilov výplne: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7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13" t="str">
        <f>texty!A242</f>
        <v>dilatácia 4 mm</v>
      </c>
      <c r="C20" s="15"/>
      <c r="E20" s="15"/>
      <c r="F20" s="15"/>
      <c r="G20" s="22"/>
      <c r="H20" s="22"/>
      <c r="I20" s="608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SUM(T21:T32)</f>
        <v>#VALUE!</v>
      </c>
      <c r="N24" s="19">
        <v>1700</v>
      </c>
      <c r="P24" s="19" t="s">
        <v>548</v>
      </c>
      <c r="Q24" s="362" t="s">
        <v>549</v>
      </c>
      <c r="R24" s="19" t="e">
        <f>S8+T8</f>
        <v>#VALUE!</v>
      </c>
      <c r="S24" s="19" t="e">
        <f>IF(R24&gt;=D4,IF(SUM(S21:S23)&gt;0,"",1),"")</f>
        <v>#VALUE!</v>
      </c>
      <c r="T24" s="361" t="e">
        <f>IF(S24=1,1,"")</f>
        <v>#VALUE!</v>
      </c>
      <c r="U24" s="361" t="e">
        <f>IF(S24=1,1,"")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partnerská zľava:</v>
      </c>
      <c r="H25" s="22"/>
      <c r="L25" s="19" t="str">
        <f>CONCATENATE(N25,"-",P7)</f>
        <v>2350-0</v>
      </c>
      <c r="M25" s="22" t="e">
        <f>SUM(U21:U32)</f>
        <v>#VALUE!</v>
      </c>
      <c r="N25" s="19">
        <v>2350</v>
      </c>
      <c r="Q25" s="19" t="s">
        <v>561</v>
      </c>
      <c r="R25" s="19" t="e">
        <f>T8+T8</f>
        <v>#VALUE!</v>
      </c>
      <c r="S25" s="19" t="e">
        <f>IF(R25&gt;=D4,IF(SUM(S21:S24)&gt;0,"",1),"")</f>
        <v>#VALUE!</v>
      </c>
      <c r="U25" s="361" t="e">
        <f>IF(S25=1,2,"")</f>
        <v>#VALUE!</v>
      </c>
    </row>
    <row r="26" spans="1:22" ht="12.75" customHeight="1" x14ac:dyDescent="0.25">
      <c r="A26" s="325" t="str">
        <f>texty!A80</f>
        <v>Objednávacie kódy, ceny: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SUM(V21:V32)</f>
        <v>#VALUE!</v>
      </c>
      <c r="N26" s="19">
        <v>3000</v>
      </c>
      <c r="O26" s="363"/>
      <c r="Q26" s="19" t="s">
        <v>550</v>
      </c>
      <c r="R26" s="19" t="e">
        <f>S8+U8</f>
        <v>#VALUE!</v>
      </c>
      <c r="S26" s="19" t="e">
        <f>IF(R26&gt;=D4,IF(SUM(S21:S25)&gt;0,"",1),"")</f>
        <v>#VALUE!</v>
      </c>
      <c r="T26" s="361" t="e">
        <f>IF(S26=1,1,"")</f>
        <v>#VALUE!</v>
      </c>
      <c r="V26" s="361" t="e">
        <f>IF(S26=1,1,"")</f>
        <v>#VALUE!</v>
      </c>
    </row>
    <row r="27" spans="1:22" ht="12.75" customHeight="1" x14ac:dyDescent="0.25">
      <c r="A27" s="320"/>
      <c r="B27" s="17" t="str">
        <f>texty!A276</f>
        <v>kód</v>
      </c>
      <c r="C27" s="18" t="str">
        <f>texty!A16</f>
        <v>názov</v>
      </c>
      <c r="D27" s="17" t="str">
        <f>texty!A17</f>
        <v>ks</v>
      </c>
      <c r="E27" s="17" t="str">
        <f>texty!A18</f>
        <v>cena/ks</v>
      </c>
      <c r="F27" s="17" t="str">
        <f>texty!A19</f>
        <v>cena celkom</v>
      </c>
      <c r="G27" s="18" t="str">
        <f>texty!A20</f>
        <v>celkom netto:</v>
      </c>
      <c r="H27" s="22"/>
      <c r="I27" s="18" t="str">
        <f>texty!A29</f>
        <v>Poznámka:</v>
      </c>
      <c r="J27" s="18"/>
      <c r="L27" s="22"/>
      <c r="M27" s="19">
        <f>COUNT(M24,M25,M26)</f>
        <v>0</v>
      </c>
      <c r="N27" s="363"/>
      <c r="O27" s="363"/>
      <c r="Q27" s="19" t="s">
        <v>551</v>
      </c>
      <c r="R27" s="19" t="e">
        <f>T8+U8</f>
        <v>#VALUE!</v>
      </c>
      <c r="S27" s="19" t="e">
        <f>IF(R27&gt;=D4,IF(SUM(S21:S26)&gt;0,"",1),"")</f>
        <v>#VALUE!</v>
      </c>
      <c r="U27" s="361" t="e">
        <f>IF(S27=1,1,"")</f>
        <v>#VALUE!</v>
      </c>
      <c r="V27" s="361" t="e">
        <f>IF(S27=1,1,"")</f>
        <v>#VALUE!</v>
      </c>
    </row>
    <row r="28" spans="1:22" ht="12.75" customHeight="1" x14ac:dyDescent="0.25">
      <c r="A28" s="320" t="str">
        <f>+System10!A28</f>
        <v>Horný profil: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4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3"/>
      <c r="N28" s="363"/>
      <c r="O28" s="363"/>
      <c r="Q28" s="19" t="s">
        <v>562</v>
      </c>
      <c r="R28" s="19" t="e">
        <f>U8+U8</f>
        <v>#VALUE!</v>
      </c>
      <c r="S28" s="19" t="e">
        <f>IF(R28&gt;=D4,IF(SUM(S21:S27)&gt;0,"",1),"")</f>
        <v>#VALUE!</v>
      </c>
      <c r="V28" s="361" t="e">
        <f>IF(S28=1,2,"")</f>
        <v>#VALUE!</v>
      </c>
    </row>
    <row r="29" spans="1:22" ht="12.75" customHeight="1" x14ac:dyDescent="0.25">
      <c r="A29" s="320" t="str">
        <f>+System10!A29</f>
        <v>spodný profil: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4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3" t="e">
        <f>IF(M29=L24,M24,IF(M29=L25,M25,IF(M29=L26,M26,"chyba")))</f>
        <v>#VALUE!</v>
      </c>
      <c r="O29" s="363"/>
      <c r="P29" s="363"/>
      <c r="Q29" s="19" t="s">
        <v>563</v>
      </c>
      <c r="R29" s="19" t="e">
        <f>S8+S8+S8</f>
        <v>#VALUE!</v>
      </c>
      <c r="S29" s="19" t="e">
        <f>IF(R29&gt;=D4,IF(SUM(S21:S28)&gt;0,"",1),"")</f>
        <v>#VALUE!</v>
      </c>
      <c r="T29" s="361" t="e">
        <f>IF(S29=1,3,"")</f>
        <v>#VALUE!</v>
      </c>
    </row>
    <row r="30" spans="1:22" ht="12.75" customHeight="1" x14ac:dyDescent="0.25">
      <c r="A30" s="320" t="str">
        <f>+System10!A30</f>
        <v>krycí profil (maska):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4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3" t="e">
        <f>IF(M30=L25,M25,IF(M30=L26,M26,IF(M30=L27,M27,0)))</f>
        <v>#VALUE!</v>
      </c>
      <c r="O30" s="363"/>
      <c r="P30" s="363"/>
      <c r="Q30" s="19" t="s">
        <v>554</v>
      </c>
      <c r="R30" s="19" t="e">
        <f>S8+2*T8</f>
        <v>#VALUE!</v>
      </c>
      <c r="S30" s="19" t="e">
        <f>IF(R30&gt;=D4,IF(SUM(S21:S29)&gt;0,"",1),"")</f>
        <v>#VALUE!</v>
      </c>
      <c r="T30" s="361" t="e">
        <f>IF(S30=1,1,"")</f>
        <v>#VALUE!</v>
      </c>
      <c r="U30" s="361" t="e">
        <f>IF(S30=1,2,"")</f>
        <v>#VALUE!</v>
      </c>
    </row>
    <row r="31" spans="1:22" ht="12.75" customHeight="1" x14ac:dyDescent="0.25">
      <c r="A31" s="320" t="str">
        <f>+System10!A31</f>
        <v>horné vozíky (sady)</v>
      </c>
      <c r="B31" s="15">
        <v>89265</v>
      </c>
      <c r="C31" s="23" t="str">
        <f>+VLOOKUP(B31,cennik!A:G,2,FALSE)</f>
        <v>SEVROLL 10202 horný vozík 10mm asymetrický L+P</v>
      </c>
      <c r="D31" s="15">
        <f>IF((D49+D50)&gt;D4,0,D4-(D49+D50))</f>
        <v>0</v>
      </c>
      <c r="E31" s="86">
        <f>+VLOOKUP(B31,cennik!A:G,3,FALSE)</f>
        <v>5.5948599999999997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4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3"/>
      <c r="N31" s="363"/>
      <c r="O31" s="363"/>
      <c r="P31" s="363"/>
      <c r="Q31" s="19" t="s">
        <v>564</v>
      </c>
      <c r="R31" s="19" t="e">
        <f>T8+T8+T8</f>
        <v>#VALUE!</v>
      </c>
      <c r="S31" s="19" t="e">
        <f>IF(R31&gt;=D4,IF(SUM(S21:S30)&gt;0,"",1),"")</f>
        <v>#VALUE!</v>
      </c>
      <c r="U31" s="361" t="e">
        <f>IF(S31=1,3,"")</f>
        <v>#VALUE!</v>
      </c>
    </row>
    <row r="32" spans="1:22" ht="12.75" customHeight="1" x14ac:dyDescent="0.25">
      <c r="A32" s="320" t="str">
        <f>+System10!A32</f>
        <v>spodné vozíky (sada)</v>
      </c>
      <c r="B32" s="15">
        <f>IF(F4=M66,328321,229441)</f>
        <v>229441</v>
      </c>
      <c r="C32" s="23" t="str">
        <f>+VLOOKUP(B32,cennik!A:G,2,FALSE)</f>
        <v>SEVROLL 10200 spodný vozík WD 10C HI-TEC - 2ks</v>
      </c>
      <c r="D32" s="15">
        <f>+D4</f>
        <v>0</v>
      </c>
      <c r="E32" s="86">
        <f>+VLOOKUP(B32,cennik!A:G,3,FALSE)</f>
        <v>6.6617899999999999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4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3"/>
      <c r="N32" s="363"/>
      <c r="O32" s="363"/>
      <c r="P32" s="363"/>
      <c r="Q32" s="19" t="s">
        <v>555</v>
      </c>
      <c r="R32" s="19" t="e">
        <f>S8+2*U8</f>
        <v>#VALUE!</v>
      </c>
      <c r="S32" s="19" t="e">
        <f>IF(R32&gt;=D4,IF(SUM(S21:S31)&gt;0,"",1),"")</f>
        <v>#VALUE!</v>
      </c>
      <c r="T32" s="361" t="e">
        <f>IF(S32=1,1,"")</f>
        <v>#VALUE!</v>
      </c>
      <c r="V32" s="361" t="e">
        <f>IF(S32=1,2,"")</f>
        <v>#VALUE!</v>
      </c>
    </row>
    <row r="33" spans="1:12" ht="12.75" customHeight="1" x14ac:dyDescent="0.25">
      <c r="A33" s="320" t="str">
        <f>+System10!A33</f>
        <v>dorazový kartáč</v>
      </c>
      <c r="B33" s="15">
        <v>98067</v>
      </c>
      <c r="C33" s="23" t="str">
        <f>+VLOOKUP(B33,cennik!A:G,2,FALSE)</f>
        <v>SEVROLL dorazová kefa zásuvná 14x4mm sivá</v>
      </c>
      <c r="D33" s="15">
        <f>CEILING((B4*D4*2/1000),1)</f>
        <v>0</v>
      </c>
      <c r="E33" s="86">
        <f>+VLOOKUP(B33,cennik!A:G,3,FALSE)</f>
        <v>0.2218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4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</row>
    <row r="34" spans="1:12" ht="12.75" customHeight="1" x14ac:dyDescent="0.25">
      <c r="A34" s="320" t="str">
        <f>+System10!A34</f>
        <v>úchytová lišta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4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12" ht="12.75" customHeight="1" x14ac:dyDescent="0.25">
      <c r="A35" s="320" t="str">
        <f>+System10!A35</f>
        <v>spojovacia skrutka</v>
      </c>
      <c r="B35" s="15">
        <v>89244</v>
      </c>
      <c r="C35" s="23" t="str">
        <f>+VLOOKUP(B35,cennik!A:G,2,FALSE)</f>
        <v>SEVROLL 20001 skrutkovrut 6,3x32 SEVROLL a Simple</v>
      </c>
      <c r="D35" s="15">
        <f>+D4*4</f>
        <v>0</v>
      </c>
      <c r="E35" s="86">
        <f>+VLOOKUP(B35,cennik!A:G,3,FALSE)</f>
        <v>0.15614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4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12" ht="12.75" customHeight="1" x14ac:dyDescent="0.25">
      <c r="A36" s="320" t="str">
        <f>+System10!A36</f>
        <v>horný profil rámu (vodiaca lišta)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4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12" ht="12.75" customHeight="1" x14ac:dyDescent="0.25">
      <c r="A37" s="320" t="str">
        <f>+System10!A36</f>
        <v>horný profil rámu (vodiaca lišta)</v>
      </c>
      <c r="B37" s="22" t="e">
        <f>IF(M30&lt;&gt;"jiné",+VLOOKUP(M30,data!C335:D352,2,0),"")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4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12" ht="12.75" customHeight="1" x14ac:dyDescent="0.25">
      <c r="A38" s="320" t="str">
        <f>+System10!A38</f>
        <v>horizontálny spodný profil rámu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4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12" ht="12.75" customHeight="1" x14ac:dyDescent="0.25">
      <c r="A39" s="320" t="str">
        <f>+System10!A39</f>
        <v>horizontálny spodný profil rámu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4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12" ht="12.75" customHeight="1" x14ac:dyDescent="0.25">
      <c r="E40" s="266"/>
      <c r="F40" s="266"/>
      <c r="G40" s="266"/>
      <c r="H40" s="22"/>
      <c r="I40" s="364" t="str">
        <f>IFERROR(IF((VLOOKUP(B40,cennik!A:L,12,0))="O",texty!A250,""),"")</f>
        <v/>
      </c>
      <c r="J40" s="334"/>
      <c r="K40" s="174"/>
      <c r="L40" s="21" t="s">
        <v>13</v>
      </c>
    </row>
    <row r="41" spans="1:12" ht="12.75" customHeight="1" x14ac:dyDescent="0.25">
      <c r="A41" s="325" t="str">
        <f>texty!A66</f>
        <v>Voliteľné príslušenstvo:</v>
      </c>
      <c r="B41" s="15"/>
      <c r="D41" s="343" t="str">
        <f>System10!D41</f>
        <v>zadajte počet:</v>
      </c>
      <c r="E41" s="86"/>
      <c r="F41" s="86"/>
      <c r="G41" s="266"/>
      <c r="H41" s="22"/>
      <c r="I41" s="364" t="str">
        <f>IFERROR(IF((VLOOKUP(B41,cennik!A:L,12,0))="O",texty!A250,""),"")</f>
        <v/>
      </c>
      <c r="J41" s="334"/>
      <c r="K41" s="174"/>
      <c r="L41" s="21" t="s">
        <v>13</v>
      </c>
    </row>
    <row r="42" spans="1:12" ht="12.75" customHeight="1" x14ac:dyDescent="0.25">
      <c r="A42" s="320" t="str">
        <f>texty!A88</f>
        <v>pozicionér do horného vedenia</v>
      </c>
      <c r="B42" s="15">
        <v>298035</v>
      </c>
      <c r="C42" s="23" t="str">
        <f>+VLOOKUP(B42,cennik!A:G,2,FALSE)</f>
        <v>SEVROLL 20326 Fix pozicionér pre horný vozík transparentný</v>
      </c>
      <c r="D42" s="278"/>
      <c r="E42" s="86">
        <f>+VLOOKUP(B42,cennik!A:G,3,FALSE)</f>
        <v>1.0929500000000001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4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12" ht="12.75" customHeight="1" x14ac:dyDescent="0.25">
      <c r="A43" s="320" t="str">
        <f>+System10!A43</f>
        <v xml:space="preserve">pozicionér </v>
      </c>
      <c r="B43" s="15">
        <f>IF(F4="Gemini",387424,89063)</f>
        <v>89063</v>
      </c>
      <c r="C43" s="23" t="str">
        <f>+VLOOKUP(B43,cennik!A:G,2,FALSE)</f>
        <v>SEVROLL 20080 pozicionér spodného vozíka HI-TEC</v>
      </c>
      <c r="D43" s="278"/>
      <c r="E43" s="86">
        <f>+VLOOKUP(B43,cennik!A:G,3,FALSE)</f>
        <v>0.31226999999999999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4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12" ht="12.75" customHeight="1" x14ac:dyDescent="0.25">
      <c r="A44" s="320" t="str">
        <f>texty!A228</f>
        <v> Tlmič dorazu MINI do 25 kg (pár)</v>
      </c>
      <c r="B44" s="15">
        <v>318662</v>
      </c>
      <c r="C44" s="23" t="str">
        <f>+VLOOKUP(B44,cennik!A:G,2,FALSE)</f>
        <v>SEVROLL 20368-SV tlmič dorazu Mini SV25 (14-25kg)</v>
      </c>
      <c r="D44" s="278"/>
      <c r="E44" s="86">
        <f>+VLOOKUP(B44,cennik!A:G,3,FALSE)</f>
        <v>22.951930000000001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4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12" ht="12.75" customHeight="1" x14ac:dyDescent="0.25">
      <c r="A45" s="320" t="str">
        <f>texty!A229</f>
        <v> Tlmič dorazu MINI do 40 kg (pár)</v>
      </c>
      <c r="B45" s="22">
        <v>283956</v>
      </c>
      <c r="C45" s="23" t="str">
        <f>+VLOOKUP(B45,cennik!A:G,2,FALSE)</f>
        <v>SEVROLL 20258-SV tlmič dorazu Mini SV40 (25 - 40kg)</v>
      </c>
      <c r="D45" s="278"/>
      <c r="E45" s="86">
        <f>+VLOOKUP(B45,cennik!A:G,3,FALSE)</f>
        <v>22.951930000000001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4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12" ht="12.75" customHeight="1" x14ac:dyDescent="0.25">
      <c r="A46" s="320" t="str">
        <f>texty!A230</f>
        <v> Tlmič dorazu MINI do 60 kg (pár)</v>
      </c>
      <c r="B46" s="22">
        <v>351743</v>
      </c>
      <c r="C46" s="23" t="str">
        <f>+VLOOKUP(B46,cennik!A:G,2,FALSE)</f>
        <v>SEVROLL 20339-SV tlmič dorazu Mini SV60 (40 - 60kg)</v>
      </c>
      <c r="D46" s="278"/>
      <c r="E46" s="86">
        <f>+VLOOKUP(B46,cennik!A:G,3,FALSE)</f>
        <v>22.951930000000001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4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12" ht="12.75" customHeight="1" x14ac:dyDescent="0.25">
      <c r="A47" s="320" t="str">
        <f>texty!A231</f>
        <v> Tlmič pre stredné krídlo do 25 kg</v>
      </c>
      <c r="B47" s="22">
        <v>318663</v>
      </c>
      <c r="C47" s="23" t="str">
        <f>+VLOOKUP(B47,cennik!A:G,2,FALSE)</f>
        <v>SEVROLL 20363-SV tlmič Central 10/18mm obojstranný 25kg</v>
      </c>
      <c r="D47" s="278"/>
      <c r="E47" s="86">
        <f>+VLOOKUP(B47,cennik!A:G,3,FALSE)</f>
        <v>49.156689999999998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4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12" ht="12.75" customHeight="1" x14ac:dyDescent="0.25">
      <c r="A48" s="320" t="str">
        <f>texty!A232</f>
        <v> Tlmič pre stredné krídlo do 40 kg</v>
      </c>
      <c r="B48" s="22">
        <v>283955</v>
      </c>
      <c r="C48" s="23" t="str">
        <f>+VLOOKUP(B48,cennik!A:G,2,FALSE)</f>
        <v>SEVROLL 20319-SV tlmič Central 10/18mm obojstranný 25-40kg</v>
      </c>
      <c r="D48" s="278"/>
      <c r="E48" s="86">
        <f>+VLOOKUP(B48,cennik!A:G,3,FALSE)</f>
        <v>49.156689999999998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4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tlmič dorazu (pár) 25 kg</v>
      </c>
      <c r="B49" s="22">
        <v>227185</v>
      </c>
      <c r="C49" s="23" t="str">
        <f>+VLOOKUP(B49,cennik!A:G,2,FALSE)</f>
        <v>K-SEVROLL tlmič dorazu 10/18mm 14-25kg L+P</v>
      </c>
      <c r="D49" s="278"/>
      <c r="E49" s="86">
        <f>+VLOOKUP(B49,cennik!A:G,3,FALSE)</f>
        <v>25.710319999999999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4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tlmič dorazu (pár) 50 kg</v>
      </c>
      <c r="B50" s="22">
        <v>227187</v>
      </c>
      <c r="C50" s="23" t="str">
        <f>+VLOOKUP(B50,cennik!A:G,2,FALSE)</f>
        <v>K-SEVROLL tlmič dorazu 10/18mm 25-50kg L+P</v>
      </c>
      <c r="D50" s="278"/>
      <c r="E50" s="86">
        <f>+VLOOKUP(B50,cennik!A:G,3,FALSE)</f>
        <v>25.710319999999999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4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spojovací profil H10-3metre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4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spojovací profil H30-3metre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4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spojovacia skrutka</v>
      </c>
      <c r="B53" s="15">
        <v>89244</v>
      </c>
      <c r="C53" s="23" t="str">
        <f>+VLOOKUP(B53,cennik!A:G,2,FALSE)</f>
        <v>SEVROLL 20001 skrutkovrut 6,3x32 SEVROLL a Simple</v>
      </c>
      <c r="D53" s="354"/>
      <c r="E53" s="86">
        <f>+VLOOKUP(B53,cennik!A:G,3,FALSE)</f>
        <v>0.15614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4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protiprachový kartáč</v>
      </c>
      <c r="B54" s="15">
        <v>95946</v>
      </c>
      <c r="C54" s="23" t="str">
        <f>+VLOOKUP(B54,cennik!A:G,2,FALSE)</f>
        <v>SEVROLL protiprach.kartáč zásuvný 4,8x13mm</v>
      </c>
      <c r="D54" s="354"/>
      <c r="E54" s="86">
        <f>+VLOOKUP(B54,cennik!A:G,3,FALSE)</f>
        <v>0.20741000000000001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4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4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4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4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Potrebná dĺžka tesnenia pri celkovom presklení (nutné objednať celé metre)</v>
      </c>
      <c r="D58" s="334" t="str">
        <f>IFERROR((CEILING(((B9+C9)*2/1000*D4),1)),"")</f>
        <v/>
      </c>
      <c r="E58" s="266"/>
      <c r="F58" s="266"/>
      <c r="G58" s="266"/>
      <c r="H58" s="22"/>
      <c r="I58" s="364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(pri kombináciach s H profilmi je nutné pripočítať potrebnú dĺžku - tesnenie musí byť po celom odvode každého skla</v>
      </c>
      <c r="B59" s="346"/>
      <c r="C59" s="347"/>
      <c r="D59" s="346"/>
      <c r="E59" s="336"/>
      <c r="F59" s="336"/>
      <c r="G59" s="336"/>
      <c r="H59" s="22"/>
      <c r="I59" s="364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tesnenie na sklo 4mm</v>
      </c>
      <c r="B60" s="15">
        <v>89238</v>
      </c>
      <c r="C60" s="23" t="str">
        <f>+VLOOKUP(B60,cennik!A:G,2,FALSE)</f>
        <v>SEVROLL 20031-SV tesnenie na sklo 10/4mm</v>
      </c>
      <c r="D60" s="355"/>
      <c r="E60" s="86">
        <f>+VLOOKUP(B60,cennik!A:G,3,FALSE)</f>
        <v>0.80669999999999997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4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tesnenie na sklo 4,5 mm</v>
      </c>
      <c r="B61" s="15">
        <v>135164</v>
      </c>
      <c r="C61" s="23" t="str">
        <f>+VLOOKUP(B61,cennik!A:G,2,FALSE)</f>
        <v>SEVROLL 20032-SV tesnenie na sklo 10/4,5mm</v>
      </c>
      <c r="D61" s="355"/>
      <c r="E61" s="86">
        <f>+VLOOKUP(B61,cennik!A:G,3,FALSE)</f>
        <v>0.80669999999999997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4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tesnenie na sklo 6mm</v>
      </c>
      <c r="B62" s="15">
        <v>89243</v>
      </c>
      <c r="C62" s="23" t="str">
        <f>+VLOOKUP(B62,cennik!A:G,2,FALSE)</f>
        <v>SEVROLL 20033-SV tesnenie na sklo 10/6mm</v>
      </c>
      <c r="D62" s="355"/>
      <c r="E62" s="86">
        <f>+VLOOKUP(B62,cennik!A:G,3,FALSE)</f>
        <v>0.80669999999999997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4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Ďalšie príslušenstvo</v>
      </c>
      <c r="E63" s="266"/>
      <c r="F63" s="266"/>
      <c r="G63" s="266"/>
      <c r="H63" s="22"/>
      <c r="I63" s="364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Technický nákres tohoto systému</v>
      </c>
      <c r="B64" s="476">
        <v>129677</v>
      </c>
      <c r="C64" s="348" t="str">
        <f>VLOOKUP(B64,cennik!A:C,2,0)</f>
        <v>SEVROLL 20173 montážny prípravok pre lamino 10mm malý</v>
      </c>
      <c r="D64" s="355"/>
      <c r="E64" s="86">
        <f>+VLOOKUP(B64,cennik!A:G,3,FALSE)</f>
        <v>5.0214600000000003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4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6">
        <v>128842</v>
      </c>
      <c r="C65" s="348" t="str">
        <f>VLOOKUP(B65,cennik!A:C,2,0)</f>
        <v>SEVROLL 20144 vrták stupňovitý 6,5/9,5mm</v>
      </c>
      <c r="D65" s="355"/>
      <c r="E65" s="86">
        <f>+VLOOKUP(B65,cennik!A:G,3,FALSE)</f>
        <v>26.752659999999999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4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4">
        <v>66</v>
      </c>
      <c r="L66" s="19" t="str">
        <f>texty!A128</f>
        <v xml:space="preserve">strieborná 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CELKOM  (bez DPH)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oliva</v>
      </c>
      <c r="M67" s="19" t="s">
        <v>42</v>
      </c>
    </row>
    <row r="68" spans="1:14" ht="12.75" customHeight="1" x14ac:dyDescent="0.25">
      <c r="A68" s="337" t="str">
        <f>System10!A67</f>
        <v>Vaša poznámka:</v>
      </c>
      <c r="B68" s="689"/>
      <c r="C68" s="690"/>
      <c r="D68" s="690"/>
      <c r="E68" s="690"/>
      <c r="F68" s="690"/>
      <c r="G68" s="691"/>
      <c r="H68" s="22"/>
      <c r="L68" s="19" t="str">
        <f>texty!A129</f>
        <v>zlatá</v>
      </c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niektoré položky sa vo vybranej dĺžke nevyrábajú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iVi80dlsSFm+u/RE9yL4E04xeTELmV6E2QIyMjINRgn/+gtZBh/ynul7YErfMw968kixunci+mfnx08TtMTuA==" saltValue="IOKjfdbpAbzce9gjN6Ldo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30" priority="4">
      <formula>SUM($D$47:$D$48)&gt;0</formula>
    </cfRule>
  </conditionalFormatting>
  <conditionalFormatting sqref="D6">
    <cfRule type="expression" dxfId="328" priority="8">
      <formula>$D$4=4</formula>
    </cfRule>
    <cfRule type="expression" dxfId="327" priority="9">
      <formula>$D$4&lt;&gt;4</formula>
    </cfRule>
  </conditionalFormatting>
  <conditionalFormatting sqref="D53">
    <cfRule type="expression" dxfId="326" priority="1">
      <formula>IF(D52&gt;0,IF(D53=0,1,0),0)</formula>
    </cfRule>
  </conditionalFormatting>
  <conditionalFormatting sqref="G4">
    <cfRule type="expression" dxfId="325" priority="7">
      <formula>$D$4=4</formula>
    </cfRule>
  </conditionalFormatting>
  <conditionalFormatting sqref="I20">
    <cfRule type="expression" dxfId="324" priority="20">
      <formula>$F$4=$M$67</formula>
    </cfRule>
  </conditionalFormatting>
  <conditionalFormatting sqref="I21:I22">
    <cfRule type="expression" dxfId="323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$L$66:$L$68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814" zoomScale="85" zoomScaleNormal="85" workbookViewId="0">
      <selection activeCell="C822" sqref="C822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2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1700-strieborná , Elegant II</v>
      </c>
      <c r="D4" s="49">
        <v>84385</v>
      </c>
      <c r="E4" s="48" t="str">
        <f>+VLOOKUP(A4,cennik!A:G,2,FALSE)</f>
        <v>SEVROLL 04279 Elegant II spodné vedenie  1,7m strieborná</v>
      </c>
      <c r="F4" s="48" t="str">
        <f>+VLOOKUP(A4,cennik!A:B,2,FALSE)</f>
        <v>SEVROLL 04279 Elegant II spodné vedenie  1,7m strieborná</v>
      </c>
      <c r="G4" s="1" t="e">
        <f>+VLOOKUP(A4,#REF!,4,FALSE)</f>
        <v>#REF!</v>
      </c>
      <c r="H4" s="1" t="s">
        <v>464</v>
      </c>
      <c r="I4" s="1" t="str">
        <f>CONCATENATE(H4,"-",J4,", ",J19)</f>
        <v>1700-strieborná , Elegant II</v>
      </c>
      <c r="J4" s="1" t="str">
        <f>IF($J$1=1,K4,IF($J$1=2,N4,IF($J$1=3,M4,IF($J$1=4,L4,IF($J$1=5,O4,IF($J$1=6,P4,IF($J$1=7,Q4,"zadat jazyk")))))))</f>
        <v xml:space="preserve">strieborná 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2350-strieborná , Elegant II</v>
      </c>
      <c r="D5" s="49">
        <v>84388</v>
      </c>
      <c r="E5" s="48" t="str">
        <f>+VLOOKUP(A5,cennik!A:G,2,FALSE)</f>
        <v>SEVROLL 04280 Elegant II spodné vedenie  2,35m strieborná</v>
      </c>
      <c r="F5" s="48" t="str">
        <f>+VLOOKUP(A5,cennik!A:B,2,FALSE)</f>
        <v>SEVROLL 04280 Elegant II spodné vedenie  2,35m strieborná</v>
      </c>
      <c r="G5" s="1" t="e">
        <f>+VLOOKUP(A5,#REF!,4,FALSE)</f>
        <v>#REF!</v>
      </c>
      <c r="H5" s="1" t="s">
        <v>465</v>
      </c>
      <c r="I5" s="1" t="str">
        <f>CONCATENATE(H5,"-",J4,", ",J19)</f>
        <v>2350-strieborná , Elegant II</v>
      </c>
      <c r="J5" s="1" t="str">
        <f>IF($J$1=1,K5,IF($J$1=2,N5,IF($J$1=3,M5,IF($J$1=4,L5,IF($J$1=5,O5,IF($J$1=6,P5,IF($J$1=7,Q5,"zadat jazyk")))))))</f>
        <v>zlatá</v>
      </c>
      <c r="K5" s="1" t="s">
        <v>23</v>
      </c>
      <c r="L5" s="1" t="s">
        <v>202</v>
      </c>
      <c r="M5" s="1" t="s">
        <v>456</v>
      </c>
      <c r="N5" s="1" t="s">
        <v>23</v>
      </c>
      <c r="O5" s="1" t="s">
        <v>10483</v>
      </c>
      <c r="P5" s="1" t="s">
        <v>10484</v>
      </c>
      <c r="Q5" s="1" t="s">
        <v>10484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3000-strieborná , Elegant II</v>
      </c>
      <c r="D6" s="49">
        <v>84391</v>
      </c>
      <c r="E6" s="48" t="str">
        <f>+VLOOKUP(A6,cennik!A:G,2,FALSE)</f>
        <v>SEVROLL 04281 Elegant II spodné vedenie  3m strieborná</v>
      </c>
      <c r="F6" s="48" t="str">
        <f>+VLOOKUP(A6,cennik!A:B,2,FALSE)</f>
        <v>SEVROLL 04281 Elegant II spodné vedenie  3m strieborná</v>
      </c>
      <c r="G6" s="1" t="e">
        <f>+VLOOKUP(A6,#REF!,4,FALSE)</f>
        <v>#REF!</v>
      </c>
      <c r="H6" s="1" t="s">
        <v>466</v>
      </c>
      <c r="I6" s="1" t="str">
        <f>CONCATENATE(H6,"-",J4,", ",J19)</f>
        <v>3000-strieborná , Elegant II</v>
      </c>
      <c r="J6" s="1" t="str">
        <f t="shared" ref="J6:J9" si="1">IF($J$1=1,K6,IF($J$1=2,N6,IF($J$1=3,M6,IF($J$1=4,L6,IF($J$1=5,O6,IF($J$1=6,P6,IF($J$1=7,Q6,"zadat jazyk")))))))</f>
        <v>oliva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4050-strieborná , Elegant II</v>
      </c>
      <c r="D7" s="49">
        <v>84394</v>
      </c>
      <c r="E7" s="48" t="str">
        <f>+VLOOKUP(A7,cennik!A:G,2,FALSE)</f>
        <v>SEVROLL 04282 Elegant II spodné vedenie  4,05m strieborná</v>
      </c>
      <c r="F7" s="48" t="str">
        <f>+VLOOKUP(A7,cennik!A:B,2,FALSE)</f>
        <v>SEVROLL 04282 Elegant II spodné vedenie  4,05m strieborná</v>
      </c>
      <c r="G7" s="1" t="e">
        <f>+VLOOKUP(A7,#REF!,4,FALSE)</f>
        <v>#REF!</v>
      </c>
      <c r="H7" s="1" t="s">
        <v>467</v>
      </c>
      <c r="I7" s="1" t="str">
        <f>CONCATENATE(H7,"-",J4,", ",J19)</f>
        <v>4050-strieborná , Elegant II</v>
      </c>
      <c r="J7" s="1" t="str">
        <f t="shared" si="1"/>
        <v>oliva kartáčovaná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6000-strieborná , Elegant II</v>
      </c>
      <c r="D8" s="49">
        <v>350687</v>
      </c>
      <c r="E8" s="48" t="str">
        <f>+VLOOKUP(A8,cennik!A:G,2,FALSE)</f>
        <v>SEVROLL 04284 Elegant II spodné vedenie 6m strieborná</v>
      </c>
      <c r="F8" s="48" t="str">
        <f>+VLOOKUP(A8,cennik!A:B,2,FALSE)</f>
        <v>SEVROLL 04284 Elegant II spodné vedenie 6m strieborná</v>
      </c>
      <c r="G8" s="1" t="e">
        <f>+VLOOKUP(A8,#REF!,4,FALSE)</f>
        <v>#REF!</v>
      </c>
      <c r="H8" s="144" t="s">
        <v>536</v>
      </c>
      <c r="I8" s="1" t="str">
        <f>CONCATENATE(H8,"-",J4,", ",J19)</f>
        <v>6000-strieborná , Elegant II</v>
      </c>
      <c r="J8" s="1" t="str">
        <f t="shared" si="1"/>
        <v>kart. tm. oliva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84383</v>
      </c>
      <c r="B9" s="48"/>
      <c r="C9" s="1" t="str">
        <f>CONCATENATE(H9,"-",J5,", ",J19)</f>
        <v>1700-zlatá, Elegant II</v>
      </c>
      <c r="D9" s="2">
        <v>84383</v>
      </c>
      <c r="E9" s="48" t="str">
        <f>+VLOOKUP(A9,cennik!A:G,2,FALSE)</f>
        <v>SEVROLL 04285 Elegant II spodné vedenie 1,7m zlatá</v>
      </c>
      <c r="F9" s="48" t="str">
        <f>+VLOOKUP(A9,cennik!A:B,2,FALSE)</f>
        <v>SEVROLL 04285 Elegant II spodné vedenie 1,7m zlatá</v>
      </c>
      <c r="G9" s="1" t="e">
        <f>+VLOOKUP(A9,#REF!,4,FALSE)</f>
        <v>#REF!</v>
      </c>
      <c r="H9" s="1" t="s">
        <v>464</v>
      </c>
      <c r="I9" s="1" t="str">
        <f>CONCATENATE(H9,"-",J5,", ",J19)</f>
        <v>1700-zlatá, Elegant II</v>
      </c>
      <c r="J9" s="1" t="str">
        <f t="shared" si="1"/>
        <v>kart. čierna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84386</v>
      </c>
      <c r="B10" s="48"/>
      <c r="C10" s="1" t="str">
        <f>CONCATENATE(H10,"-",J5,", ",J19)</f>
        <v>2350-zlatá, Elegant II</v>
      </c>
      <c r="D10" s="49">
        <v>84386</v>
      </c>
      <c r="E10" s="48" t="str">
        <f>+VLOOKUP(A10,cennik!A:G,2,FALSE)</f>
        <v>SEVROLL Elegant II spodné vedenie 2,35m zlatá</v>
      </c>
      <c r="F10" s="48" t="str">
        <f>+VLOOKUP(A10,cennik!A:B,2,FALSE)</f>
        <v>SEVROLL Elegant II spodné vedenie 2,35m zlatá</v>
      </c>
      <c r="G10" s="1" t="e">
        <f>+VLOOKUP(A10,#REF!,4,FALSE)</f>
        <v>#REF!</v>
      </c>
      <c r="H10" s="1" t="s">
        <v>465</v>
      </c>
      <c r="I10" s="1" t="str">
        <f>CONCATENATE(H10,"-",J5,", ",J19)</f>
        <v>2350-zlatá, Elegant II</v>
      </c>
      <c r="K10" s="1" t="str">
        <f t="shared" ref="K10:Q10" si="2">CONCATENATE(K4,";",K5,";",K6)</f>
        <v>stříbrná;zlatá;oliva</v>
      </c>
      <c r="L10" s="1" t="str">
        <f t="shared" si="2"/>
        <v>ezüst;arany;oliva</v>
      </c>
      <c r="M10" s="1" t="str">
        <f t="shared" si="2"/>
        <v>srebrny;złoty;j.brąz</v>
      </c>
      <c r="N10" s="1" t="str">
        <f t="shared" si="2"/>
        <v>strieborná ;zlatá;oliva</v>
      </c>
      <c r="O10" s="1" t="str">
        <f t="shared" si="2"/>
        <v xml:space="preserve">argent;or;olive </v>
      </c>
      <c r="P10" s="1" t="str">
        <f t="shared" si="2"/>
        <v>silver;golden;olive</v>
      </c>
      <c r="Q10" s="1" t="str">
        <f t="shared" si="2"/>
        <v>silber;golden;olive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84389</v>
      </c>
      <c r="B11" s="48"/>
      <c r="C11" s="1" t="str">
        <f>CONCATENATE(H11,"-",J5,", ",J19)</f>
        <v>3000-zlatá, Elegant II</v>
      </c>
      <c r="D11" s="49">
        <v>84389</v>
      </c>
      <c r="E11" s="48" t="str">
        <f>+VLOOKUP(A11,cennik!A:G,2,FALSE)</f>
        <v>SEVROLL Elegant II spodné vedenie 3m zlatá</v>
      </c>
      <c r="F11" s="48" t="str">
        <f>+VLOOKUP(A11,cennik!A:B,2,FALSE)</f>
        <v>SEVROLL Elegant II spodné vedenie 3m zlatá</v>
      </c>
      <c r="G11" s="1" t="e">
        <f>+VLOOKUP(A11,#REF!,4,FALSE)</f>
        <v>#REF!</v>
      </c>
      <c r="H11" s="1" t="s">
        <v>466</v>
      </c>
      <c r="I11" s="1" t="str">
        <f>CONCATENATE(H11,"-",J5,", ",J19)</f>
        <v>3000-zlatá,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84392</v>
      </c>
      <c r="B12" s="48"/>
      <c r="C12" s="1" t="str">
        <f>CONCATENATE(H12,"-",J5,", ",J19)</f>
        <v>4050-zlatá, Elegant II</v>
      </c>
      <c r="D12" s="49">
        <v>84392</v>
      </c>
      <c r="E12" s="48" t="str">
        <f>+VLOOKUP(A12,cennik!A:G,2,FALSE)</f>
        <v>SEVROLL 04288 Elegant II spodné vedenie 4,05m zlatá</v>
      </c>
      <c r="F12" s="48" t="str">
        <f>+VLOOKUP(A12,cennik!A:B,2,FALSE)</f>
        <v>SEVROLL 04288 Elegant II spodné vedenie 4,05m zlatá</v>
      </c>
      <c r="G12" s="1" t="e">
        <f>+VLOOKUP(A12,#REF!,4,FALSE)</f>
        <v>#REF!</v>
      </c>
      <c r="H12" s="1" t="s">
        <v>467</v>
      </c>
      <c r="I12" s="1" t="str">
        <f>CONCATENATE(H12,"-",J5,", ",J19)</f>
        <v>4050-zlatá,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334858</v>
      </c>
      <c r="B13" s="48"/>
      <c r="C13" s="1" t="str">
        <f>CONCATENATE(H13,"-",J5,", ",J19)</f>
        <v>6000-zlatá, Elegant II</v>
      </c>
      <c r="D13" s="49">
        <v>334858</v>
      </c>
      <c r="E13" s="48" t="str">
        <f>+VLOOKUP(A13,cennik!A:G,2,FALSE)</f>
        <v>SEVROLL 04289 Elegant II spodné vedenie 6m zlatá</v>
      </c>
      <c r="F13" s="48" t="str">
        <f>+VLOOKUP(A13,cennik!A:B,2,FALSE)</f>
        <v>SEVROLL 04289 Elegant II spodné vedenie 6m zlatá</v>
      </c>
      <c r="H13" s="1">
        <v>6000</v>
      </c>
      <c r="I13" s="1" t="str">
        <f>CONCATENATE(H13,"-",J5,", ",J19)</f>
        <v>6000-zlatá, Elegant II</v>
      </c>
      <c r="J13" s="1" t="str">
        <f t="shared" ref="J13:J18" si="3">IF($J$1=1,K13,IF($J$1=2,N13,IF($J$1=3,M13,IF($J$1=4,L13,IF($J$1=5,O13,IF($J$1=6,P13,IF($J$1=7,Q13,"zadat jazyk")))))))</f>
        <v>kart. čierna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1700-oliva, Elegant II</v>
      </c>
      <c r="D14" s="49">
        <v>318666</v>
      </c>
      <c r="E14" s="48" t="str">
        <f>+VLOOKUP(A14,cennik!A:G,2,FALSE)</f>
        <v>SEVROLL 04273 Elegant II spodné vedenie 1,7m oliva</v>
      </c>
      <c r="F14" s="48" t="str">
        <f>+VLOOKUP(A14,cennik!A:B,2,FALSE)</f>
        <v>SEVROLL 04273 Elegant II spodné vedenie 1,7m oliva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1700-oliva, Elegant II</v>
      </c>
      <c r="J14" s="1" t="str">
        <f t="shared" si="3"/>
        <v>kart. tm. oliva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2350-oliva, Elegant II</v>
      </c>
      <c r="D15" s="49">
        <v>84387</v>
      </c>
      <c r="E15" s="48" t="str">
        <f>+VLOOKUP(A15,cennik!A:G,2,FALSE)</f>
        <v>SEVROLL 04274 Elegant II spodné vedenie  2,35m oliva</v>
      </c>
      <c r="F15" s="48" t="str">
        <f>+VLOOKUP(A15,cennik!A:B,2,FALSE)</f>
        <v>SEVROLL 04274 Elegant II spodné vedenie  2,35m oliva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2350-oliva, Elegant II</v>
      </c>
      <c r="J15" s="1" t="str">
        <f t="shared" si="3"/>
        <v>biela lesk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3000-oliva, Elegant II</v>
      </c>
      <c r="D16" s="49">
        <v>84390</v>
      </c>
      <c r="E16" s="48" t="str">
        <f>+VLOOKUP(A16,cennik!A:G,2,FALSE)</f>
        <v>SEVROLL 04275 Elegant II spodné vedenie  3m oliva</v>
      </c>
      <c r="F16" s="48" t="str">
        <f>+VLOOKUP(A16,cennik!A:B,2,FALSE)</f>
        <v>SEVROLL 04275 Elegant II spodné vedenie  3m oliva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3000-oliva, Elegant II</v>
      </c>
      <c r="J16" s="1" t="str">
        <f t="shared" si="3"/>
        <v>čierna lesk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4050-oliva, Elegant II</v>
      </c>
      <c r="D17" s="49">
        <v>84393</v>
      </c>
      <c r="E17" s="48" t="str">
        <f>+VLOOKUP(A17,cennik!A:G,2,FALSE)</f>
        <v>SEVROLL 04276 Elegant II spodné vedenie  4,05m oliva</v>
      </c>
      <c r="F17" s="48" t="str">
        <f>+VLOOKUP(A17,cennik!A:B,2,FALSE)</f>
        <v>SEVROLL 04276 Elegant II spodné vedenie  4,05m oliva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4050-oliva, Elegant II</v>
      </c>
      <c r="J17" s="1" t="str">
        <f t="shared" si="3"/>
        <v>čierna mat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6000-oliva, Elegant II</v>
      </c>
      <c r="D18" s="49">
        <v>350688</v>
      </c>
      <c r="E18" s="48" t="str">
        <f>+VLOOKUP(A18,cennik!A:G,2,FALSE)</f>
        <v>SEVROLL 04278 Elegant II spodné vedenie 6m oliva</v>
      </c>
      <c r="F18" s="48" t="str">
        <f>+VLOOKUP(A18,cennik!A:B,2,FALSE)</f>
        <v>SEVROLL 04278 Elegant II spodné vedenie 6m oliva</v>
      </c>
      <c r="H18" s="1">
        <v>6000</v>
      </c>
      <c r="I18" s="1" t="str">
        <f>CONCATENATE(H18,"-",J6,", ",J19)</f>
        <v>6000-oliva, Elegant II</v>
      </c>
      <c r="J18" s="1" t="str">
        <f t="shared" si="3"/>
        <v>biela mat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1700-biela lesk, Elegant II</v>
      </c>
      <c r="D19" s="49">
        <v>276744</v>
      </c>
      <c r="E19" s="48" t="str">
        <f>+VLOOKUP(A19,cennik!A:G,2,FALSE)</f>
        <v>SEVROLL 04290 Elegant II spodné vedenie  1,7m biela lesk</v>
      </c>
      <c r="F19" s="48" t="str">
        <f>+VLOOKUP(A19,cennik!A:B,2,FALSE)</f>
        <v>SEVROLL 04290 Elegant II spodné vedenie  1,7m biela lesk</v>
      </c>
      <c r="H19" s="1">
        <v>1700</v>
      </c>
      <c r="I19" s="1" t="str">
        <f>CONCATENATE(H19,"-",J15,", ",J19)</f>
        <v>1700-biela lesk,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2350-biela lesk, Elegant II</v>
      </c>
      <c r="D20" s="49">
        <v>276745</v>
      </c>
      <c r="E20" s="48" t="str">
        <f>+VLOOKUP(A20,cennik!A:G,2,FALSE)</f>
        <v>SEVROLL 04291 Elegant II spodné vedenie  2,35m biela lesk</v>
      </c>
      <c r="F20" s="48" t="str">
        <f>+VLOOKUP(A20,cennik!A:B,2,FALSE)</f>
        <v>SEVROLL 04291 Elegant II spodné vedenie  2,35m biela lesk</v>
      </c>
      <c r="H20" s="1">
        <v>2350</v>
      </c>
      <c r="I20" s="1" t="str">
        <f>CONCATENATE(H20,"-",J15,", ",J19)</f>
        <v>2350-biela lesk,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3000-biela lesk, Elegant II</v>
      </c>
      <c r="D21" s="49">
        <v>252568</v>
      </c>
      <c r="E21" s="48" t="str">
        <f>+VLOOKUP(A21,cennik!A:G,2,FALSE)</f>
        <v>SEVROLL 04292 Elegant II spodné vedenie  3m biela lesk</v>
      </c>
      <c r="F21" s="48" t="str">
        <f>+VLOOKUP(A21,cennik!A:B,2,FALSE)</f>
        <v>SEVROLL 04292 Elegant II spodné vedenie  3m biela lesk</v>
      </c>
      <c r="H21" s="1">
        <v>3000</v>
      </c>
      <c r="I21" s="1" t="str">
        <f>CONCATENATE(H21,"-",J15,", ",J19)</f>
        <v>3000-biela lesk,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4050-biela lesk, Elegant II</v>
      </c>
      <c r="D22" s="49">
        <v>276746</v>
      </c>
      <c r="E22" s="48" t="str">
        <f>+VLOOKUP(A22,cennik!A:G,2,FALSE)</f>
        <v>SEVROLL 04293 Elegant II spodné vedenie  4,05m biela lesk</v>
      </c>
      <c r="F22" s="48" t="str">
        <f>+VLOOKUP(A22,cennik!A:B,2,FALSE)</f>
        <v>SEVROLL 04293 Elegant II spodné vedenie  4,05m biela lesk</v>
      </c>
      <c r="H22" s="1">
        <v>4050</v>
      </c>
      <c r="I22" s="1" t="str">
        <f>CONCATENATE(H22,"-",J15,", ",J19)</f>
        <v>4050-biela lesk, Elegant II</v>
      </c>
      <c r="J22" s="1" t="str">
        <f>IF($J$1=1,K22,IF($J$1=2,N22,IF($J$1=3,M22,IF($J$1=4,L22,IF($J$1=5,O22,IF($J$1=6,P22,IF($J$1=7,Q22,"zadat jazyk")))))))</f>
        <v>čierna štrukturálna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6000-biela lesk, Elegant II</v>
      </c>
      <c r="D23" s="49">
        <v>308645</v>
      </c>
      <c r="E23" s="48" t="str">
        <f>+VLOOKUP(A23,cennik!A:G,2,FALSE)</f>
        <v>SEVROLL 04295 Elegant II spodné vedenie 6m biela lesk</v>
      </c>
      <c r="F23" s="48" t="str">
        <f>+VLOOKUP(A23,cennik!A:B,2,FALSE)</f>
        <v>SEVROLL 04295 Elegant II spodné vedenie 6m biela lesk</v>
      </c>
      <c r="H23" s="1">
        <v>6000</v>
      </c>
      <c r="I23" s="1" t="str">
        <f>CONCATENATE(H23,"-",J15,", ",J19)</f>
        <v>6000-biela lesk,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1700-oliva kartáčovaná, Elegant II</v>
      </c>
      <c r="D24" s="49">
        <v>120868</v>
      </c>
      <c r="E24" s="48" t="str">
        <f>+VLOOKUP(A24,cennik!A:G,2,FALSE)</f>
        <v>SEVROLL 04333-Y Elegant II spodné vedenie  1,7m oliva kartáčovaná</v>
      </c>
      <c r="F24" s="48" t="str">
        <f>+VLOOKUP(A24,cennik!A:B,2,FALSE)</f>
        <v>SEVROLL 04333-Y Elegant II spodné vedenie  1,7m oliva kartáčovaná</v>
      </c>
      <c r="H24" s="1">
        <v>1700</v>
      </c>
      <c r="I24" s="1" t="str">
        <f>CONCATENATE(H24,"-",J7,", ",J19)</f>
        <v>1700-oliva kartáčovaná,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2350-oliva kartáčovaná, Elegant II</v>
      </c>
      <c r="D25" s="49">
        <v>120869</v>
      </c>
      <c r="E25" s="48" t="str">
        <f>+VLOOKUP(A25,cennik!A:G,2,FALSE)</f>
        <v>SEVROLL 04334-Y Elegant II spodné vedenie  2,35m oliva kartáčovaná</v>
      </c>
      <c r="F25" s="48" t="str">
        <f>+VLOOKUP(A25,cennik!A:B,2,FALSE)</f>
        <v>SEVROLL 04334-Y Elegant II spodné vedenie  2,35m oliva kartáčovaná</v>
      </c>
      <c r="H25" s="1">
        <v>2350</v>
      </c>
      <c r="I25" s="1" t="str">
        <f>CONCATENATE(H25,"-",J7,", ",J19)</f>
        <v>2350-oliva kartáčovaná,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3000-oliva kartáčovaná, Elegant II</v>
      </c>
      <c r="D26" s="49">
        <v>120870</v>
      </c>
      <c r="E26" s="48" t="str">
        <f>+VLOOKUP(A26,cennik!A:G,2,FALSE)</f>
        <v>SEVROLL 04335-Y Elegant II spodné vedenie  3m oliva kartáčovaná</v>
      </c>
      <c r="F26" s="48" t="str">
        <f>+VLOOKUP(A26,cennik!A:B,2,FALSE)</f>
        <v>SEVROLL 04335-Y Elegant II spodné vedenie  3m oliva kartáčovaná</v>
      </c>
      <c r="H26" s="1">
        <v>3000</v>
      </c>
      <c r="I26" s="1" t="str">
        <f>CONCATENATE(H26,"-",J7,", ",J19)</f>
        <v>3000-oliva kartáčovaná,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4050-oliva kartáčovaná, Elegant II</v>
      </c>
      <c r="D27" s="49">
        <v>120871</v>
      </c>
      <c r="E27" s="48" t="str">
        <f>+VLOOKUP(A27,cennik!A:G,2,FALSE)</f>
        <v>SEVROLL 04336-Y Elegant II spodné vedenie  4,05m oliva kartáčovaná</v>
      </c>
      <c r="F27" s="48" t="str">
        <f>+VLOOKUP(A27,cennik!A:B,2,FALSE)</f>
        <v>SEVROLL 04336-Y Elegant II spodné vedenie  4,05m oliva kartáčovaná</v>
      </c>
      <c r="H27" s="1">
        <v>4050</v>
      </c>
      <c r="I27" s="1" t="str">
        <f>CONCATENATE(H27,"-",J7,", ",J19)</f>
        <v>4050-oliva kartáčovaná,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6000-oliva kartáčovaná, Elegant II</v>
      </c>
      <c r="D28" s="49">
        <v>225367</v>
      </c>
      <c r="E28" s="48" t="str">
        <f>+VLOOKUP(A28,cennik!A:G,2,FALSE)</f>
        <v>SEVROLL Elegant II spodné vedenie 6m oliva kartáčovaná</v>
      </c>
      <c r="F28" s="48" t="str">
        <f>+VLOOKUP(A28,cennik!A:B,2,FALSE)</f>
        <v>SEVROLL Elegant II spodné vedenie 6m oliva kartáčovaná</v>
      </c>
      <c r="H28" s="1">
        <v>6000</v>
      </c>
      <c r="I28" s="1" t="str">
        <f>CONCATENATE(H28,"-",J7,", ",J19)</f>
        <v>6000-oliva kartáčovaná,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1700-kart. tm. oliva, Elegant II</v>
      </c>
      <c r="D29" s="49">
        <v>205089</v>
      </c>
      <c r="E29" s="48" t="str">
        <f>+VLOOKUP(A29,cennik!A:G,2,FALSE)</f>
        <v>SEVROLL 04343 Elegant II spodné vedenie 1,7m oliva tmavá kartáčovaná</v>
      </c>
      <c r="F29" s="48" t="str">
        <f>+VLOOKUP(A29,cennik!A:B,2,FALSE)</f>
        <v>SEVROLL 04343 Elegant II spodné vedenie 1,7m oliva tmavá kartáčovaná</v>
      </c>
      <c r="H29" s="1">
        <v>1700</v>
      </c>
      <c r="I29" s="1" t="str">
        <f>CONCATENATE(H29,"-",J8,", ",J19)</f>
        <v>1700-kart. tm. oliva,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2350-kart. tm. oliva, Elegant II</v>
      </c>
      <c r="D30" s="49">
        <v>205078</v>
      </c>
      <c r="E30" s="48" t="str">
        <f>+VLOOKUP(A30,cennik!A:G,2,FALSE)</f>
        <v>SEVROLL 04344 Elegant II spodné vedenie 2,35m oliva tmavá kartáčovaná</v>
      </c>
      <c r="F30" s="48" t="str">
        <f>+VLOOKUP(A30,cennik!A:B,2,FALSE)</f>
        <v>SEVROLL 04344 Elegant II spodné vedenie 2,35m oliva tmavá kartáčovaná</v>
      </c>
      <c r="H30" s="1">
        <v>2350</v>
      </c>
      <c r="I30" s="1" t="str">
        <f>CONCATENATE(H30,"-",J8,", ",J19)</f>
        <v>2350-kart. tm. oliva,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3000-kart. tm. oliva, Elegant II</v>
      </c>
      <c r="D31" s="49">
        <v>205098</v>
      </c>
      <c r="E31" s="48" t="str">
        <f>+VLOOKUP(A31,cennik!A:G,2,FALSE)</f>
        <v>SEVROLL 04345 Elegant II spodné vedenie 3m oliva tmavá kartáčovaná</v>
      </c>
      <c r="F31" s="48" t="str">
        <f>+VLOOKUP(A31,cennik!A:B,2,FALSE)</f>
        <v>SEVROLL 04345 Elegant II spodné vedenie 3m oliva tmavá kartáčovaná</v>
      </c>
      <c r="H31" s="1">
        <v>3000</v>
      </c>
      <c r="I31" s="1" t="str">
        <f>CONCATENATE(H31,"-",J8,", ",J19)</f>
        <v>3000-kart. tm. oliva,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4050-kart. tm. oliva, Elegant II</v>
      </c>
      <c r="D32" s="49">
        <v>205087</v>
      </c>
      <c r="E32" s="48" t="str">
        <f>+VLOOKUP(A32,cennik!A:G,2,FALSE)</f>
        <v>SEVROLL 04346 Elegant II spodné vedenie 4,05m oliva tmavá kartáčovaná</v>
      </c>
      <c r="F32" s="48" t="str">
        <f>+VLOOKUP(A32,cennik!A:B,2,FALSE)</f>
        <v>SEVROLL 04346 Elegant II spodné vedenie 4,05m oliva tmavá kartáčovaná</v>
      </c>
      <c r="H32" s="1">
        <v>4050</v>
      </c>
      <c r="I32" s="1" t="str">
        <f>CONCATENATE(H32,"-",J8,", ",J19)</f>
        <v>4050-kart. tm. oliva,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6000-kart. tm. oliva, Elegant II</v>
      </c>
      <c r="D33" s="49">
        <v>225368</v>
      </c>
      <c r="E33" s="48" t="str">
        <f>+VLOOKUP(A33,cennik!A:G,2,FALSE)</f>
        <v>SEVROLL Elegant II spodné vedenie 6m oliva tmavá kartáčovaná</v>
      </c>
      <c r="F33" s="48" t="str">
        <f>+VLOOKUP(A33,cennik!A:B,2,FALSE)</f>
        <v>SEVROLL Elegant II spodné vedenie 6m oliva tmavá kartáčovaná</v>
      </c>
      <c r="H33" s="1">
        <v>6000</v>
      </c>
      <c r="I33" s="1" t="str">
        <f>CONCATENATE(H33,"-",J8,", ",J19)</f>
        <v>6000-kart. tm. oliva,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1700-kart. čierna, Elegant II</v>
      </c>
      <c r="D34" s="49">
        <v>205090</v>
      </c>
      <c r="E34" s="48" t="str">
        <f>+VLOOKUP(A34,cennik!A:G,2,FALSE)</f>
        <v>SEVROLL 04338 Elegant II spodné vedenie  1,7m čierna  kartáčovaná</v>
      </c>
      <c r="F34" s="48" t="str">
        <f>+VLOOKUP(A34,cennik!A:B,2,FALSE)</f>
        <v>SEVROLL 04338 Elegant II spodné vedenie  1,7m čierna  kartáčovaná</v>
      </c>
      <c r="H34" s="1">
        <v>1700</v>
      </c>
      <c r="I34" s="1" t="str">
        <f>CONCATENATE(H34,"-",J9,", ",J19)</f>
        <v>1700-kart. čierna,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2350-kart. čierna, Elegant II</v>
      </c>
      <c r="D35" s="49">
        <v>205079</v>
      </c>
      <c r="E35" s="48" t="str">
        <f>+VLOOKUP(A35,cennik!A:G,2,FALSE)</f>
        <v>SEVROLL 04339 Elegant II spodné vedenie  2,35m čierna  kartáčovaná</v>
      </c>
      <c r="F35" s="48" t="str">
        <f>+VLOOKUP(A35,cennik!A:B,2,FALSE)</f>
        <v>SEVROLL 04339 Elegant II spodné vedenie  2,35m čierna  kartáčovaná</v>
      </c>
      <c r="H35" s="1">
        <v>2350</v>
      </c>
      <c r="I35" s="1" t="str">
        <f>CONCATENATE(H35,"-",J9,", ",J19)</f>
        <v>2350-kart. čierna,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3000-kart. čierna, Elegant II</v>
      </c>
      <c r="D36" s="49">
        <v>205186</v>
      </c>
      <c r="E36" s="48" t="str">
        <f>+VLOOKUP(A36,cennik!A:G,2,FALSE)</f>
        <v>SEVROLL 04340 Elegant II spodné vedenie  3m čierna  kartáčovaná</v>
      </c>
      <c r="F36" s="48" t="str">
        <f>+VLOOKUP(A36,cennik!A:B,2,FALSE)</f>
        <v>SEVROLL 04340 Elegant II spodné vedenie  3m čierna  kartáčovaná</v>
      </c>
      <c r="H36" s="1">
        <v>3000</v>
      </c>
      <c r="I36" s="1" t="str">
        <f>CONCATENATE(H36,"-",J9,", ",J19)</f>
        <v>3000-kart. čierna,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4050-kart. čierna, Elegant II</v>
      </c>
      <c r="D37" s="49">
        <v>205088</v>
      </c>
      <c r="E37" s="48" t="str">
        <f>+VLOOKUP(A37,cennik!A:G,2,FALSE)</f>
        <v>SEVROLL 04341 Elegant II spodné vedenie  4,05m čierna  kartáčovaná</v>
      </c>
      <c r="F37" s="48" t="str">
        <f>+VLOOKUP(A37,cennik!A:B,2,FALSE)</f>
        <v>SEVROLL 04341 Elegant II spodné vedenie  4,05m čierna  kartáčovaná</v>
      </c>
      <c r="H37" s="1">
        <v>4050</v>
      </c>
      <c r="I37" s="1" t="str">
        <f>CONCATENATE(H37,"-",J9,", ",J19)</f>
        <v>4050-kart. čierna,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6000-kart. čierna, Elegant II</v>
      </c>
      <c r="D38" s="49">
        <v>225369</v>
      </c>
      <c r="E38" s="48" t="str">
        <f>+VLOOKUP(A38,cennik!A:G,2,FALSE)</f>
        <v>SEVROLL Elegant II spodné vedenie 6m čierna kartáčovaná</v>
      </c>
      <c r="F38" s="48" t="str">
        <f>+VLOOKUP(A38,cennik!A:B,2,FALSE)</f>
        <v>SEVROLL Elegant II spodné vedenie 6m čierna kartáčovaná</v>
      </c>
      <c r="H38" s="1">
        <v>6000</v>
      </c>
      <c r="I38" s="1" t="str">
        <f>CONCATENATE(H38,"-",J9,", ",J19)</f>
        <v>6000-kart. čierna,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1700-strieborná , Gemini</v>
      </c>
      <c r="D39" s="49">
        <v>84410</v>
      </c>
      <c r="E39" s="48" t="str">
        <f>+VLOOKUP(A39,cennik!A:G,2,FALSE)</f>
        <v>SEVROLL Gemini II spodné vedenie 1,7m strieborná</v>
      </c>
      <c r="F39" s="48" t="str">
        <f>+VLOOKUP(A39,cennik!A:B,2,FALSE)</f>
        <v>SEVROLL Gemini II spodné vedenie 1,7m strieborná</v>
      </c>
      <c r="H39" s="1">
        <v>1700</v>
      </c>
      <c r="I39" s="1" t="str">
        <f>CONCATENATE(H39,"-",J4,", ",J21)</f>
        <v>1700-strieborná 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2350-strieborná , Gemini</v>
      </c>
      <c r="D40" s="49">
        <v>98057</v>
      </c>
      <c r="E40" s="48" t="str">
        <f>+VLOOKUP(A40,cennik!A:G,2,FALSE)</f>
        <v>SEVROLL 04592 Gemini II spodné vedenie  2,35m strieborná</v>
      </c>
      <c r="F40" s="48" t="str">
        <f>+VLOOKUP(A40,cennik!A:B,2,FALSE)</f>
        <v>SEVROLL 04592 Gemini II spodné vedenie  2,35m strieborná</v>
      </c>
      <c r="H40" s="1">
        <v>2350</v>
      </c>
      <c r="I40" s="1" t="str">
        <f>CONCATENATE(H40,"-",J4,", ",J21)</f>
        <v>2350-strieborná 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3000-strieborná , Gemini</v>
      </c>
      <c r="D41" s="49">
        <v>84412</v>
      </c>
      <c r="E41" s="48" t="str">
        <f>+VLOOKUP(A41,cennik!A:G,2,FALSE)</f>
        <v>SEVROLL 04593 Gemini II spodné vedenie  3m strieborná</v>
      </c>
      <c r="F41" s="48" t="str">
        <f>+VLOOKUP(A41,cennik!A:B,2,FALSE)</f>
        <v>SEVROLL 04593 Gemini II spodné vedenie  3m strieborná</v>
      </c>
      <c r="H41" s="1">
        <v>3000</v>
      </c>
      <c r="I41" s="1" t="str">
        <f>CONCATENATE(H41,"-",J4,", ",J21)</f>
        <v>3000-strieborná 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4050-strieborná , Gemini</v>
      </c>
      <c r="D42" s="49">
        <v>98058</v>
      </c>
      <c r="E42" s="48" t="str">
        <f>+VLOOKUP(A42,cennik!A:G,2,FALSE)</f>
        <v>SEVROLL 04594 Gemini II spodné vedenie  4,05m strieborná</v>
      </c>
      <c r="F42" s="48" t="str">
        <f>+VLOOKUP(A42,cennik!A:B,2,FALSE)</f>
        <v>SEVROLL 04594 Gemini II spodné vedenie  4,05m strieborná</v>
      </c>
      <c r="H42" s="1">
        <v>4050</v>
      </c>
      <c r="I42" s="1" t="str">
        <f>CONCATENATE(H42,"-",J4,", ",J21)</f>
        <v>4050-strieborná 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6000-strieborná , Gemini</v>
      </c>
      <c r="D43" s="49">
        <v>159409</v>
      </c>
      <c r="E43" s="48" t="str">
        <f>+VLOOKUP(A43,cennik!A:G,2,FALSE)</f>
        <v>SEVROLL 04595 Gemini II spodné vedenie  6m strieborná</v>
      </c>
      <c r="F43" s="48" t="str">
        <f>+VLOOKUP(A43,cennik!A:B,2,FALSE)</f>
        <v>SEVROLL 04595 Gemini II spodné vedenie  6m strieborná</v>
      </c>
      <c r="H43" s="1">
        <v>6000</v>
      </c>
      <c r="I43" s="1" t="str">
        <f>CONCATENATE(H43,"-",J4,", ",J21)</f>
        <v>6000-strieborná 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1700-oliva, Gemini</v>
      </c>
      <c r="D44" s="49">
        <v>308647</v>
      </c>
      <c r="E44" s="48" t="str">
        <f>+VLOOKUP(A44,cennik!A:G,2,FALSE)</f>
        <v>SEVROLL 04586 Gemini II spodné vedenie  1,7m oliva</v>
      </c>
      <c r="F44" s="48" t="str">
        <f>+VLOOKUP(A44,cennik!A:B,2,FALSE)</f>
        <v>SEVROLL 04586 Gemini II spodné vedenie  1,7m oliva</v>
      </c>
      <c r="H44" s="1">
        <v>1700</v>
      </c>
      <c r="I44" s="1" t="str">
        <f>CONCATENATE(H44,"-",J6,", ",J21)</f>
        <v>1700-oliva,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2350-oliva, Gemini</v>
      </c>
      <c r="D45" s="49">
        <v>308653</v>
      </c>
      <c r="E45" s="48" t="str">
        <f>+VLOOKUP(A45,cennik!A:G,2,FALSE)</f>
        <v>SEVROLL 04587 Gemini II spodné vedenie  2,35m oliva</v>
      </c>
      <c r="F45" s="48" t="str">
        <f>+VLOOKUP(A45,cennik!A:B,2,FALSE)</f>
        <v>SEVROLL 04587 Gemini II spodné vedenie  2,35m oliva</v>
      </c>
      <c r="H45" s="1">
        <v>2350</v>
      </c>
      <c r="I45" s="1" t="str">
        <f>CONCATENATE(H45,"-",J6,", ",J21)</f>
        <v>2350-oliva,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3000-oliva, Gemini</v>
      </c>
      <c r="D46" s="49">
        <v>308657</v>
      </c>
      <c r="E46" s="48" t="str">
        <f>+VLOOKUP(A46,cennik!A:G,2,FALSE)</f>
        <v>SEVROLL 04588 Gemini II spodné vedenie  3m oliva</v>
      </c>
      <c r="F46" s="48" t="str">
        <f>+VLOOKUP(A46,cennik!A:B,2,FALSE)</f>
        <v>SEVROLL 04588 Gemini II spodné vedenie  3m oliva</v>
      </c>
      <c r="H46" s="1">
        <v>3000</v>
      </c>
      <c r="I46" s="1" t="str">
        <f>CONCATENATE(H46,"-",J6,", ",J21)</f>
        <v>3000-oliva,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4050-oliva, Gemini</v>
      </c>
      <c r="D47" s="49">
        <v>308666</v>
      </c>
      <c r="E47" s="48" t="str">
        <f>+VLOOKUP(A47,cennik!A:G,2,FALSE)</f>
        <v>SEVROLL 04589 Gemini II spodné vedenie  4,05m oliva</v>
      </c>
      <c r="F47" s="48" t="str">
        <f>+VLOOKUP(A47,cennik!A:B,2,FALSE)</f>
        <v>SEVROLL 04589 Gemini II spodné vedenie  4,05m oliva</v>
      </c>
      <c r="H47" s="1">
        <v>4050</v>
      </c>
      <c r="I47" s="1" t="str">
        <f>CONCATENATE(H47,"-",J6,", ",J21)</f>
        <v>4050-oliva,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6000-oliva, Gemini</v>
      </c>
      <c r="D48" s="49">
        <v>308668</v>
      </c>
      <c r="E48" s="48" t="str">
        <f>+VLOOKUP(A48,cennik!A:G,2,FALSE)</f>
        <v>SEVROLL 04590 Gemini II spodné vedenie  6m oliva</v>
      </c>
      <c r="F48" s="48" t="str">
        <f>+VLOOKUP(A48,cennik!A:B,2,FALSE)</f>
        <v>SEVROLL 04590 Gemini II spodné vedenie  6m oliva</v>
      </c>
      <c r="H48" s="1">
        <v>6000</v>
      </c>
      <c r="I48" s="1" t="str">
        <f>CONCATENATE(H48,"-",J6,", ",J21)</f>
        <v>6000-oliva,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1700-biela lesk, Gemini</v>
      </c>
      <c r="D49" s="49">
        <v>351475</v>
      </c>
      <c r="E49" s="48" t="str">
        <f>+VLOOKUP(A49,cennik!A:G,2,FALSE)</f>
        <v>SEVROLL 04760 Gemini II spodné vedenie 1,7m biela lesk</v>
      </c>
      <c r="F49" s="48" t="str">
        <f>+VLOOKUP(A49,cennik!A:B,2,FALSE)</f>
        <v>SEVROLL 04760 Gemini II spodné vedenie 1,7m biela lesk</v>
      </c>
      <c r="H49" s="1">
        <v>1700</v>
      </c>
      <c r="I49" s="1" t="str">
        <f>CONCATENATE(H49,"-",J15,", ",J21)</f>
        <v>1700-biela lesk,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2350-biela lesk, Gemini</v>
      </c>
      <c r="D50" s="49">
        <v>351476</v>
      </c>
      <c r="E50" s="48" t="str">
        <f>+VLOOKUP(A50,cennik!A:G,2,FALSE)</f>
        <v>SEVROLL 04761 Gemini II spodné vedenie 2,35m biela lesk</v>
      </c>
      <c r="F50" s="48" t="str">
        <f>+VLOOKUP(A50,cennik!A:B,2,FALSE)</f>
        <v>SEVROLL 04761 Gemini II spodné vedenie 2,35m biela lesk</v>
      </c>
      <c r="H50" s="1">
        <v>2350</v>
      </c>
      <c r="I50" s="1" t="str">
        <f>CONCATENATE(H50,"-",J15,", ",J21)</f>
        <v>2350-biela lesk,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3000-biela lesk, Gemini</v>
      </c>
      <c r="D51" s="49">
        <v>351517</v>
      </c>
      <c r="E51" s="48" t="str">
        <f>+VLOOKUP(A51,cennik!A:G,2,FALSE)</f>
        <v>SEVROLL 04762 Gemini II spodné vedenie 3m biela lesk</v>
      </c>
      <c r="F51" s="48" t="str">
        <f>+VLOOKUP(A51,cennik!A:B,2,FALSE)</f>
        <v>SEVROLL 04762 Gemini II spodné vedenie 3m biela lesk</v>
      </c>
      <c r="H51" s="1">
        <v>3000</v>
      </c>
      <c r="I51" s="1" t="str">
        <f>CONCATENATE(H51,"-",J15,", ",J21)</f>
        <v>3000-biela lesk,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4050-biela lesk, Gemini</v>
      </c>
      <c r="D52" s="49">
        <v>351541</v>
      </c>
      <c r="E52" s="48" t="str">
        <f>+VLOOKUP(A52,cennik!A:G,2,FALSE)</f>
        <v>SEVROLL 04763 Gemini II spodné vedenie 4,05m biela lesk</v>
      </c>
      <c r="F52" s="48" t="str">
        <f>+VLOOKUP(A52,cennik!A:B,2,FALSE)</f>
        <v>SEVROLL 04763 Gemini II spodné vedenie 4,05m biela lesk</v>
      </c>
      <c r="H52" s="1">
        <v>4050</v>
      </c>
      <c r="I52" s="1" t="str">
        <f>CONCATENATE(H52,"-",J15,", ",J21)</f>
        <v>4050-biela lesk,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6000-biela lesk, Gemini</v>
      </c>
      <c r="D53" s="49">
        <v>351578</v>
      </c>
      <c r="E53" s="48" t="str">
        <f>+VLOOKUP(A53,cennik!A:G,2,FALSE)</f>
        <v>SEVROLL 04764 Gemini II spodné vedenie 6m biela lesk</v>
      </c>
      <c r="F53" s="48" t="str">
        <f>+VLOOKUP(A53,cennik!A:B,2,FALSE)</f>
        <v>SEVROLL 04764 Gemini II spodné vedenie 6m biela lesk</v>
      </c>
      <c r="H53" s="1">
        <v>6000</v>
      </c>
      <c r="I53" s="1" t="str">
        <f>CONCATENATE(H53,"-",J15,", ",J21)</f>
        <v>6000-biela lesk,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spodné vedenie 1,7m grafit</v>
      </c>
      <c r="F54" s="48" t="str">
        <f>+VLOOKUP(A54,cennik!A:B,2,FALSE)</f>
        <v>SEVROLL 06042 Elegant II spodné vedenie 1,7m grafit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spodné vedenie 2,35m grafit</v>
      </c>
      <c r="F55" s="48" t="str">
        <f>+VLOOKUP(A55,cennik!A:B,2,FALSE)</f>
        <v>SEVROLL 06043 Elegant II spodné vedenie 2,35m grafit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spodné vedenie 3m grafit</v>
      </c>
      <c r="F56" s="48" t="str">
        <f>+VLOOKUP(A56,cennik!A:B,2,FALSE)</f>
        <v>SEVROLL 06020 Elegant II spodné vedenie 3m grafit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spodné vedenie 4,05m grafit</v>
      </c>
      <c r="F57" s="48" t="str">
        <f>+VLOOKUP(A57,cennik!A:B,2,FALSE)</f>
        <v>SEVROLL 06021 Elegant II spodné vedenie 4,05m grafit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spodné vedenie 6m grafit</v>
      </c>
      <c r="F58" s="48" t="str">
        <f>+VLOOKUP(A58,cennik!A:B,2,FALSE)</f>
        <v>SEVROLL 06044 Elegant II spodné vedenie 6m grafit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4050-čierna mat, Elegant II</v>
      </c>
      <c r="D59" s="49">
        <v>409676</v>
      </c>
      <c r="E59" s="48" t="str">
        <f>+VLOOKUP(A59,cennik!A:G,2,FALSE)</f>
        <v>SEVROLL 05311 Elegant II spodné vedenie 4,05m čierna mat</v>
      </c>
      <c r="F59" s="48" t="str">
        <f>+VLOOKUP(A59,cennik!A:B,2,FALSE)</f>
        <v>SEVROLL 05311 Elegant II spodné vedenie 4,05m čierna mat</v>
      </c>
      <c r="H59" s="1">
        <v>4050</v>
      </c>
      <c r="I59" s="1" t="str">
        <f>CONCATENATE(H59,"-",J17,", ",J21)</f>
        <v>4050-čierna mat,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2350-čierna mat, Elegant II</v>
      </c>
      <c r="D60" s="49">
        <v>409678</v>
      </c>
      <c r="E60" s="48" t="str">
        <f>+VLOOKUP(A60,cennik!A:G,2,FALSE)</f>
        <v>SEVROLL 05309 Elegant II spodné vedenie 2,35m čierna mat</v>
      </c>
      <c r="F60" s="48" t="str">
        <f>+VLOOKUP(A60,cennik!A:B,2,FALSE)</f>
        <v>SEVROLL 05309 Elegant II spodné vedenie 2,35m čierna mat</v>
      </c>
      <c r="H60" s="1">
        <v>2350</v>
      </c>
      <c r="I60" s="1" t="str">
        <f>CONCATENATE(H60,"-",J17,", ",J21)</f>
        <v>2350-čierna mat,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3000-čierna mat, Elegant II</v>
      </c>
      <c r="D61" s="49">
        <v>412231</v>
      </c>
      <c r="E61" s="48" t="str">
        <f>+VLOOKUP(A61,cennik!A:G,2,FALSE)</f>
        <v>SEVROLL 05310 Elegant II spodné vedenie 3m čierna mat</v>
      </c>
      <c r="F61" s="48" t="str">
        <f>+VLOOKUP(A61,cennik!A:B,2,FALSE)</f>
        <v>SEVROLL 05310 Elegant II spodné vedenie 3m čierna mat</v>
      </c>
      <c r="H61" s="1">
        <v>3000</v>
      </c>
      <c r="I61" s="1" t="str">
        <f>CONCATENATE(H61,"-",J17,", ",J21)</f>
        <v>3000-čierna mat,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1700-čierna mat, Elegant II</v>
      </c>
      <c r="D62" s="49">
        <v>422007</v>
      </c>
      <c r="E62" s="48" t="str">
        <f>+VLOOKUP(A62,cennik!A:G,2,FALSE)</f>
        <v>SEVROLL 05308 Elegant II spodné vedenie 1,7m čierna mat</v>
      </c>
      <c r="F62" s="48" t="str">
        <f>+VLOOKUP(A62,cennik!A:B,2,FALSE)</f>
        <v>SEVROLL 05308 Elegant II spodné vedenie 1,7m čierna mat</v>
      </c>
      <c r="H62" s="1">
        <v>1700</v>
      </c>
      <c r="I62" s="1" t="str">
        <f>CONCATENATE(H62,"-",J17,", ",J21)</f>
        <v>1700-čierna mat,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6000-čierna mat, Elegant II</v>
      </c>
      <c r="D63" s="49">
        <v>452743</v>
      </c>
      <c r="E63" s="48" t="str">
        <f>+VLOOKUP(A63,cennik!A:G,2,FALSE)</f>
        <v>SEVROLL 05312 Elegant II spodné vedenie 6m čierna mat</v>
      </c>
      <c r="F63" s="48" t="str">
        <f>+VLOOKUP(A63,cennik!A:B,2,FALSE)</f>
        <v>SEVROLL 05312 Elegant II spodné vedenie 6m čierna mat</v>
      </c>
      <c r="H63" s="1">
        <v>6000</v>
      </c>
      <c r="I63" s="1" t="str">
        <f>CONCATENATE(H63,"-",J17,", ",J21)</f>
        <v>6000-čierna mat,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1700-zlatá,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1700-zlatá,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2350-zlatá,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2350-zlatá,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3000-zlatá,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3000-zlatá,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4050-zlatá,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4050-zlatá,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6000-zlatá,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6000-zlatá,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1700-oliva kartáčovaná,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1700-oliva kartáčovaná,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2350-oliva kartáčovaná,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2350-oliva kartáčovaná,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3000-oliva kartáčovaná,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3000-oliva kartáčovaná,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4050-oliva kartáčovaná,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4050-oliva kartáčovaná,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6000-oliva kartáčovaná,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6000-oliva kartáčovaná,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1700-kart. tm. oliva,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1700-kart. tm. oliva,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2350-kart. tm. oliva,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2350-kart. tm. oliva,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3000-kart. tm. oliva,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3000-kart. tm. oliva,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4050-kart. tm. oliva,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4050-kart. tm. oliva,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6000-kart. tm. oliva,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6000-kart. tm. oliva,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1700-kart. čierna,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1700-kart. čierna,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2350-kart. čierna,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2350-kart. čierna,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3000-kart. čierna,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3000-kart. čierna,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4050-kart. čierna,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4050-kart. čierna,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6000-kart. čierna,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6000-kart. čierna,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1700-čierna štrukturálna, Elegant II</v>
      </c>
      <c r="D84" s="196">
        <v>526506</v>
      </c>
      <c r="E84" s="48" t="str">
        <f>+VLOOKUP(A84,cennik!A:G,2,FALSE)</f>
        <v>SEVROLL 06269 Elegant II spodné vedenie 1,7m čierna štrukturálna</v>
      </c>
      <c r="F84" s="48" t="str">
        <f>+VLOOKUP(A84,cennik!A:B,2,FALSE)</f>
        <v>SEVROLL 06269 Elegant II spodné vedenie 1,7m čierna štrukturálna</v>
      </c>
      <c r="H84" s="1">
        <v>1700</v>
      </c>
      <c r="I84" s="1" t="str">
        <f>CONCATENATE(H84,"-",J22,", ",J20)</f>
        <v>1700-čierna štrukturálna, Elegant II</v>
      </c>
    </row>
    <row r="85" spans="1:26" ht="15" customHeight="1" x14ac:dyDescent="0.3">
      <c r="A85" s="196">
        <v>526509</v>
      </c>
      <c r="C85" s="1" t="str">
        <f>CONCATENATE(H85,"-",J22,", ",J20)</f>
        <v>2350-čierna štrukturálna, Elegant II</v>
      </c>
      <c r="D85" s="196">
        <v>526509</v>
      </c>
      <c r="E85" s="48" t="str">
        <f>+VLOOKUP(A85,cennik!A:G,2,FALSE)</f>
        <v>SEVROLL 06270 Elegant II spodné vedenie 2,35m čierna štrukturálna</v>
      </c>
      <c r="F85" s="48" t="str">
        <f>+VLOOKUP(A85,cennik!A:B,2,FALSE)</f>
        <v>SEVROLL 06270 Elegant II spodné vedenie 2,35m čierna štrukturálna</v>
      </c>
      <c r="H85" s="1">
        <v>2350</v>
      </c>
      <c r="I85" s="1" t="str">
        <f>CONCATENATE(H85,"-",J22,", ",J20)</f>
        <v>2350-čierna štrukturálna, Elegant II</v>
      </c>
    </row>
    <row r="86" spans="1:26" ht="15" customHeight="1" x14ac:dyDescent="0.3">
      <c r="A86" s="196">
        <v>526510</v>
      </c>
      <c r="C86" s="1" t="str">
        <f>CONCATENATE(H86,"-",J22,", ",J20)</f>
        <v>3000-čierna štrukturálna, Elegant II</v>
      </c>
      <c r="D86" s="196">
        <v>526510</v>
      </c>
      <c r="E86" s="48" t="str">
        <f>+VLOOKUP(A86,cennik!A:G,2,FALSE)</f>
        <v>SEVROLL 06271 Elegant II spodné vedenie 3m čierna štrukturálna</v>
      </c>
      <c r="F86" s="48" t="str">
        <f>+VLOOKUP(A86,cennik!A:B,2,FALSE)</f>
        <v>SEVROLL 06271 Elegant II spodné vedenie 3m čierna štrukturálna</v>
      </c>
      <c r="H86" s="1">
        <v>3000</v>
      </c>
      <c r="I86" s="1" t="str">
        <f>CONCATENATE(H86,"-",J22,", ",J20)</f>
        <v>3000-čierna štrukturálna, Elegant II</v>
      </c>
    </row>
    <row r="87" spans="1:26" ht="15" customHeight="1" x14ac:dyDescent="0.3">
      <c r="A87" s="196">
        <v>526511</v>
      </c>
      <c r="C87" s="1" t="str">
        <f>CONCATENATE(H87,"-",J22,", ",J20)</f>
        <v>4050-čierna štrukturálna, Elegant II</v>
      </c>
      <c r="D87" s="196">
        <v>526511</v>
      </c>
      <c r="E87" s="48" t="str">
        <f>+VLOOKUP(A87,cennik!A:G,2,FALSE)</f>
        <v>SEVROLL 06272 Elegant II spodné vedenie 4,05m čierna štrukturálna</v>
      </c>
      <c r="F87" s="48" t="str">
        <f>+VLOOKUP(A87,cennik!A:B,2,FALSE)</f>
        <v>SEVROLL 06272 Elegant II spodné vedenie 4,05m čierna štrukturálna</v>
      </c>
      <c r="H87" s="1">
        <v>4050</v>
      </c>
      <c r="I87" s="1" t="str">
        <f>CONCATENATE(H87,"-",J22,", ",J20)</f>
        <v>4050-čierna štrukturálna, Elegant II</v>
      </c>
    </row>
    <row r="88" spans="1:26" ht="15" customHeight="1" x14ac:dyDescent="0.3">
      <c r="A88" s="196">
        <v>526512</v>
      </c>
      <c r="C88" s="1" t="str">
        <f>CONCATENATE(H88,"-",J22,", ",J20)</f>
        <v>6000-čierna štrukturálna, Elegant II</v>
      </c>
      <c r="D88" s="196">
        <v>526512</v>
      </c>
      <c r="E88" s="48" t="str">
        <f>+VLOOKUP(A88,cennik!A:G,2,FALSE)</f>
        <v>SEVROLL 06128 Elegant II spodné vedenie 6m čierna štrukturálna</v>
      </c>
      <c r="F88" s="48" t="str">
        <f>+VLOOKUP(A88,cennik!A:B,2,FALSE)</f>
        <v>SEVROLL 06128 Elegant II spodné vedenie 6m čierna štrukturálna</v>
      </c>
      <c r="H88" s="1">
        <v>6000</v>
      </c>
      <c r="I88" s="1" t="str">
        <f>CONCATENATE(H88,"-",J22,", ",J20)</f>
        <v>6000-čierna štrukturálna, Elegant II</v>
      </c>
    </row>
    <row r="89" spans="1:26" ht="15" customHeight="1" x14ac:dyDescent="0.3">
      <c r="A89" s="2">
        <v>394792</v>
      </c>
      <c r="C89" s="1" t="str">
        <f>CONCATENATE(H89,"-",J18,", ",J19)</f>
        <v>1700-biela mat, Elegant II</v>
      </c>
      <c r="D89" s="2">
        <v>394792</v>
      </c>
      <c r="E89" s="48" t="str">
        <f>+VLOOKUP(A89,cennik!A:G,2,FALSE)</f>
        <v>SEVROLL 05081 Elegant II spodné vedenie 1,7m biela mat</v>
      </c>
      <c r="F89" s="48" t="str">
        <f>+VLOOKUP(A89,cennik!A:B,2,FALSE)</f>
        <v>SEVROLL 05081 Elegant II spodné vedenie 1,7m biela mat</v>
      </c>
      <c r="H89" s="1">
        <v>1700</v>
      </c>
      <c r="I89" s="1" t="str">
        <f>CONCATENATE(H89,"-",J18,", ",J19)</f>
        <v>1700-biela mat, Elegant II</v>
      </c>
    </row>
    <row r="90" spans="1:26" ht="15" customHeight="1" x14ac:dyDescent="0.3">
      <c r="A90" s="2">
        <v>394795</v>
      </c>
      <c r="C90" s="1" t="str">
        <f>CONCATENATE(H90,"-",J18,", ",J19)</f>
        <v>2350-biela mat, Elegant II</v>
      </c>
      <c r="D90" s="2">
        <v>394795</v>
      </c>
      <c r="E90" s="48" t="str">
        <f>+VLOOKUP(A90,cennik!A:G,2,FALSE)</f>
        <v>SEVROLL 05160 Elegant II spodné vedenie 2,35m biely mat</v>
      </c>
      <c r="F90" s="48" t="str">
        <f>+VLOOKUP(A90,cennik!A:B,2,FALSE)</f>
        <v>SEVROLL 05160 Elegant II spodné vedenie 2,35m biely mat</v>
      </c>
      <c r="H90" s="1">
        <v>2350</v>
      </c>
      <c r="I90" s="1" t="str">
        <f>CONCATENATE(H90,"-",J18,", ",J19)</f>
        <v>2350-biela mat, Elegant II</v>
      </c>
    </row>
    <row r="91" spans="1:26" ht="15" customHeight="1" x14ac:dyDescent="0.3">
      <c r="A91" s="2">
        <v>276743</v>
      </c>
      <c r="C91" s="1" t="str">
        <f>CONCATENATE(H91,"-",J18,", ",J19)</f>
        <v>3000-biela mat, Elegant II</v>
      </c>
      <c r="D91" s="2">
        <v>276743</v>
      </c>
      <c r="E91" s="48" t="str">
        <f>+VLOOKUP(A91,cennik!A:G,2,FALSE)</f>
        <v>SEVROLL 04437 Elegant II spodné vedenie  3m biela mat</v>
      </c>
      <c r="F91" s="48" t="str">
        <f>+VLOOKUP(A91,cennik!A:B,2,FALSE)</f>
        <v>SEVROLL 04437 Elegant II spodné vedenie  3m biela mat</v>
      </c>
      <c r="H91" s="1">
        <v>3000</v>
      </c>
      <c r="I91" s="1" t="str">
        <f>CONCATENATE(H91,"-",J18,", ",J19)</f>
        <v>3000-biela mat, Elegant II</v>
      </c>
    </row>
    <row r="92" spans="1:26" ht="15" customHeight="1" x14ac:dyDescent="0.3">
      <c r="A92" s="2">
        <v>394796</v>
      </c>
      <c r="C92" s="1" t="str">
        <f>CONCATENATE(H92,"-",J18,", ",J19)</f>
        <v>4050-biela mat, Elegant II</v>
      </c>
      <c r="D92" s="2">
        <v>394796</v>
      </c>
      <c r="E92" s="48" t="str">
        <f>+VLOOKUP(A92,cennik!A:G,2,FALSE)</f>
        <v>SEVROLL 05161 Elegant II spodné vedenie 4,05m biela mat</v>
      </c>
      <c r="F92" s="48" t="str">
        <f>+VLOOKUP(A92,cennik!A:B,2,FALSE)</f>
        <v>SEVROLL 05161 Elegant II spodné vedenie 4,05m biela mat</v>
      </c>
      <c r="H92" s="1">
        <v>4050</v>
      </c>
      <c r="I92" s="1" t="str">
        <f>CONCATENATE(H92,"-",J18,", ",J19)</f>
        <v>4050-biela mat, Elegant II</v>
      </c>
    </row>
    <row r="93" spans="1:26" ht="15" customHeight="1" x14ac:dyDescent="0.3">
      <c r="A93" s="2">
        <v>394800</v>
      </c>
      <c r="C93" s="1" t="str">
        <f>CONCATENATE(H93,"-",J18,", ",J19)</f>
        <v>6000-biela mat, Elegant II</v>
      </c>
      <c r="D93" s="2">
        <v>394800</v>
      </c>
      <c r="E93" s="48" t="str">
        <f>+VLOOKUP(A93,cennik!A:G,2,FALSE)</f>
        <v>SEVROLL 05162 Elegant II spodné vedenie 6m biela mat</v>
      </c>
      <c r="F93" s="48" t="str">
        <f>+VLOOKUP(A93,cennik!A:B,2,FALSE)</f>
        <v>SEVROLL 05162 Elegant II spodné vedenie 6m biela mat</v>
      </c>
      <c r="H93" s="1">
        <v>6000</v>
      </c>
      <c r="I93" s="1" t="str">
        <f>CONCATENATE(H93,"-",J18,", ",J19)</f>
        <v>6000-biela mat, Elegant II</v>
      </c>
    </row>
    <row r="94" spans="1:26" ht="15" customHeight="1" x14ac:dyDescent="0.3">
      <c r="A94" s="423">
        <v>405393</v>
      </c>
      <c r="B94" s="422"/>
      <c r="C94" s="1" t="str">
        <f>CONCATENATE(H94,"-",J16,", ",J19)</f>
        <v>1700-čierna lesk, Elegant II</v>
      </c>
      <c r="D94" s="423">
        <v>405393</v>
      </c>
      <c r="E94" s="424" t="str">
        <f>+VLOOKUP(A94,cennik!A:G,2,FALSE)</f>
        <v>SEVROLL 05155 Elegant II spodne vedenie 1,7m čierna lesk</v>
      </c>
      <c r="F94" s="424" t="str">
        <f>+VLOOKUP(A94,cennik!A:B,2,FALSE)</f>
        <v>SEVROLL 05155 Elegant II spodne vedenie 1,7m čierna lesk</v>
      </c>
      <c r="G94" s="422"/>
      <c r="H94" s="422">
        <v>1700</v>
      </c>
      <c r="I94" s="1" t="str">
        <f>CONCATENATE(H94,"-",J16,", ",J19)</f>
        <v>1700-čierna lesk, Elegant II</v>
      </c>
      <c r="Z94" s="1" t="b">
        <f t="shared" si="4"/>
        <v>1</v>
      </c>
    </row>
    <row r="95" spans="1:26" ht="15" customHeight="1" x14ac:dyDescent="0.3">
      <c r="A95" s="423">
        <v>398188</v>
      </c>
      <c r="B95" s="422"/>
      <c r="C95" s="1" t="str">
        <f>CONCATENATE(H95,"-",J16,", ",J19)</f>
        <v>2350-čierna lesk, Elegant II</v>
      </c>
      <c r="D95" s="423">
        <v>398188</v>
      </c>
      <c r="E95" s="424" t="str">
        <f>+VLOOKUP(A95,cennik!A:G,2,FALSE)</f>
        <v>SEVROLL 05156 Elegant II spodné vedenie 2,35m čierna lesk</v>
      </c>
      <c r="F95" s="424" t="str">
        <f>+VLOOKUP(A95,cennik!A:B,2,FALSE)</f>
        <v>SEVROLL 05156 Elegant II spodné vedenie 2,35m čierna lesk</v>
      </c>
      <c r="G95" s="422"/>
      <c r="H95" s="422">
        <v>2350</v>
      </c>
      <c r="I95" s="1" t="str">
        <f>CONCATENATE(H95,"-",J16,", ",J19)</f>
        <v>2350-čierna lesk, Elegant II</v>
      </c>
      <c r="Z95" s="1" t="b">
        <f t="shared" si="4"/>
        <v>1</v>
      </c>
    </row>
    <row r="96" spans="1:26" ht="15" customHeight="1" x14ac:dyDescent="0.3">
      <c r="A96" s="423">
        <v>405403</v>
      </c>
      <c r="B96" s="422"/>
      <c r="C96" s="1" t="str">
        <f>CONCATENATE(H96,"-",J16,", ",J19)</f>
        <v>3000-čierna lesk, Elegant II</v>
      </c>
      <c r="D96" s="423">
        <v>405403</v>
      </c>
      <c r="E96" s="424" t="str">
        <f>+VLOOKUP(A96,cennik!A:G,2,FALSE)</f>
        <v>SEVROLL 05157 Elegant II spodné vedenie 3m čierna lesk</v>
      </c>
      <c r="F96" s="424" t="str">
        <f>+VLOOKUP(A96,cennik!A:B,2,FALSE)</f>
        <v>SEVROLL 05157 Elegant II spodné vedenie 3m čierna lesk</v>
      </c>
      <c r="G96" s="422"/>
      <c r="H96" s="422">
        <v>3000</v>
      </c>
      <c r="I96" s="1" t="str">
        <f>CONCATENATE(H96,"-",J16,", ",J19)</f>
        <v>3000-čierna lesk, Elegant II</v>
      </c>
      <c r="Z96" s="1" t="b">
        <f t="shared" si="4"/>
        <v>1</v>
      </c>
    </row>
    <row r="97" spans="1:26" ht="15" customHeight="1" x14ac:dyDescent="0.3">
      <c r="A97" s="423">
        <v>405404</v>
      </c>
      <c r="B97" s="422"/>
      <c r="C97" s="1" t="str">
        <f>CONCATENATE(H97,"-",J16,", ",J19)</f>
        <v>4050-čierna lesk, Elegant II</v>
      </c>
      <c r="D97" s="423">
        <v>405404</v>
      </c>
      <c r="E97" s="424" t="str">
        <f>+VLOOKUP(A97,cennik!A:G,2,FALSE)</f>
        <v>SEVROLL 05158 Elegant II spodné vedenie 4,05m čierna lesk</v>
      </c>
      <c r="F97" s="424" t="str">
        <f>+VLOOKUP(A97,cennik!A:B,2,FALSE)</f>
        <v>SEVROLL 05158 Elegant II spodné vedenie 4,05m čierna lesk</v>
      </c>
      <c r="G97" s="422"/>
      <c r="H97" s="422">
        <v>4050</v>
      </c>
      <c r="I97" s="1" t="str">
        <f>CONCATENATE(H97,"-",J16,", ",J19)</f>
        <v>4050-čierna lesk, Elegant II</v>
      </c>
      <c r="Z97" s="1" t="b">
        <f t="shared" si="4"/>
        <v>1</v>
      </c>
    </row>
    <row r="98" spans="1:26" ht="15" customHeight="1" x14ac:dyDescent="0.3">
      <c r="A98" s="423">
        <v>405406</v>
      </c>
      <c r="B98" s="422"/>
      <c r="C98" s="1" t="str">
        <f>CONCATENATE(H98,"-",J16,", ",J19)</f>
        <v>6000-čierna lesk, Elegant II</v>
      </c>
      <c r="D98" s="423">
        <v>405406</v>
      </c>
      <c r="E98" s="424" t="str">
        <f>+VLOOKUP(A98,cennik!A:G,2,FALSE)</f>
        <v>SEVROLL 05159 Elegant II spodné vedenie 6m čierna lesk</v>
      </c>
      <c r="F98" s="424" t="str">
        <f>+VLOOKUP(A98,cennik!A:B,2,FALSE)</f>
        <v>SEVROLL 05159 Elegant II spodné vedenie 6m čierna lesk</v>
      </c>
      <c r="G98" s="422"/>
      <c r="H98" s="422">
        <v>6000</v>
      </c>
      <c r="I98" s="1" t="str">
        <f>CONCATENATE(H98,"-",J16,", ",J19)</f>
        <v>6000-čierna lesk, Elegant II</v>
      </c>
      <c r="Z98" s="1" t="b">
        <f t="shared" si="4"/>
        <v>1</v>
      </c>
    </row>
    <row r="99" spans="1:26" ht="15" customHeight="1" x14ac:dyDescent="0.3">
      <c r="A99" s="422">
        <v>422007</v>
      </c>
      <c r="B99" s="422"/>
      <c r="C99" s="1" t="str">
        <f>CONCATENATE(H99,"-",J17,", ",J19)</f>
        <v>1700-čierna mat, Elegant II</v>
      </c>
      <c r="D99" s="422">
        <v>422007</v>
      </c>
      <c r="E99" s="424" t="str">
        <f>+VLOOKUP(A99,cennik!A:G,2,FALSE)</f>
        <v>SEVROLL 05308 Elegant II spodné vedenie 1,7m čierna mat</v>
      </c>
      <c r="F99" s="424" t="str">
        <f>+VLOOKUP(A99,cennik!A:B,2,FALSE)</f>
        <v>SEVROLL 05308 Elegant II spodné vedenie 1,7m čierna mat</v>
      </c>
      <c r="G99" s="422"/>
      <c r="H99" s="422">
        <v>1700</v>
      </c>
      <c r="I99" s="1" t="str">
        <f>CONCATENATE(H99,"-",J17,", ",J19)</f>
        <v>1700-čierna mat, Elegant II</v>
      </c>
      <c r="Z99" s="1" t="b">
        <f t="shared" si="4"/>
        <v>1</v>
      </c>
    </row>
    <row r="100" spans="1:26" ht="15" customHeight="1" x14ac:dyDescent="0.3">
      <c r="A100" s="422">
        <v>409678</v>
      </c>
      <c r="B100" s="422"/>
      <c r="C100" s="1" t="str">
        <f>CONCATENATE(H100,"-",J17,", ",J19)</f>
        <v>2350-čierna mat, Elegant II</v>
      </c>
      <c r="D100" s="422">
        <v>409678</v>
      </c>
      <c r="E100" s="424" t="str">
        <f>+VLOOKUP(A100,cennik!A:G,2,FALSE)</f>
        <v>SEVROLL 05309 Elegant II spodné vedenie 2,35m čierna mat</v>
      </c>
      <c r="F100" s="424" t="str">
        <f>+VLOOKUP(A100,cennik!A:B,2,FALSE)</f>
        <v>SEVROLL 05309 Elegant II spodné vedenie 2,35m čierna mat</v>
      </c>
      <c r="G100" s="422"/>
      <c r="H100" s="422">
        <v>2350</v>
      </c>
      <c r="I100" s="1" t="str">
        <f>CONCATENATE(H100,"-",J17,", ",J19)</f>
        <v>2350-čierna mat, Elegant II</v>
      </c>
      <c r="Z100" s="1" t="b">
        <f t="shared" si="4"/>
        <v>1</v>
      </c>
    </row>
    <row r="101" spans="1:26" ht="15" customHeight="1" x14ac:dyDescent="0.3">
      <c r="A101" s="422">
        <v>412231</v>
      </c>
      <c r="B101" s="422"/>
      <c r="C101" s="1" t="str">
        <f>CONCATENATE(H101,"-",J17,", ",J19)</f>
        <v>3000-čierna mat, Elegant II</v>
      </c>
      <c r="D101" s="422">
        <v>412231</v>
      </c>
      <c r="E101" s="424" t="str">
        <f>+VLOOKUP(A101,cennik!A:G,2,FALSE)</f>
        <v>SEVROLL 05310 Elegant II spodné vedenie 3m čierna mat</v>
      </c>
      <c r="F101" s="424" t="str">
        <f>+VLOOKUP(A101,cennik!A:B,2,FALSE)</f>
        <v>SEVROLL 05310 Elegant II spodné vedenie 3m čierna mat</v>
      </c>
      <c r="G101" s="422"/>
      <c r="H101" s="422">
        <v>3000</v>
      </c>
      <c r="I101" s="1" t="str">
        <f>CONCATENATE(H101,"-",J17,", ",J19)</f>
        <v>3000-čierna mat, Elegant II</v>
      </c>
      <c r="Z101" s="1" t="b">
        <f t="shared" si="4"/>
        <v>1</v>
      </c>
    </row>
    <row r="102" spans="1:26" ht="15" customHeight="1" x14ac:dyDescent="0.3">
      <c r="A102" s="422">
        <v>409676</v>
      </c>
      <c r="B102" s="422"/>
      <c r="C102" s="1" t="str">
        <f>CONCATENATE(H102,"-",J17,", ",J19)</f>
        <v>4050-čierna mat, Elegant II</v>
      </c>
      <c r="D102" s="422">
        <v>409676</v>
      </c>
      <c r="E102" s="424" t="str">
        <f>+VLOOKUP(A102,cennik!A:G,2,FALSE)</f>
        <v>SEVROLL 05311 Elegant II spodné vedenie 4,05m čierna mat</v>
      </c>
      <c r="F102" s="424" t="str">
        <f>+VLOOKUP(A102,cennik!A:B,2,FALSE)</f>
        <v>SEVROLL 05311 Elegant II spodné vedenie 4,05m čierna mat</v>
      </c>
      <c r="G102" s="422"/>
      <c r="H102" s="422">
        <v>4050</v>
      </c>
      <c r="I102" s="1" t="str">
        <f>CONCATENATE(H102,"-",J17,", ",J19)</f>
        <v>4050-čierna mat, Elegant II</v>
      </c>
      <c r="Z102" s="1" t="b">
        <f t="shared" si="4"/>
        <v>1</v>
      </c>
    </row>
    <row r="103" spans="1:26" ht="15" customHeight="1" x14ac:dyDescent="0.3">
      <c r="A103" s="423">
        <v>452743</v>
      </c>
      <c r="B103" s="422"/>
      <c r="C103" s="1" t="str">
        <f>CONCATENATE(H103,"-",J17,", ",J19)</f>
        <v>6000-čierna mat, Elegant II</v>
      </c>
      <c r="D103" s="423">
        <v>452743</v>
      </c>
      <c r="E103" s="424" t="str">
        <f>+VLOOKUP(A103,cennik!A:G,2,FALSE)</f>
        <v>SEVROLL 05312 Elegant II spodné vedenie 6m čierna mat</v>
      </c>
      <c r="F103" s="424" t="str">
        <f>+VLOOKUP(A103,cennik!A:B,2,FALSE)</f>
        <v>SEVROLL 05312 Elegant II spodné vedenie 6m čierna mat</v>
      </c>
      <c r="G103" s="422"/>
      <c r="H103" s="422">
        <v>6000</v>
      </c>
      <c r="I103" s="1" t="str">
        <f>CONCATENATE(H103,"-",J17,", ",J19)</f>
        <v>6000-čierna mat,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22"/>
      <c r="C104" s="1" t="str">
        <f>CONCATENATE(H104,"-",J22,", ",J19)</f>
        <v>1700-čierna štrukturálna, Elegant II</v>
      </c>
      <c r="D104" s="196">
        <v>526506</v>
      </c>
      <c r="E104" s="424" t="str">
        <f>+VLOOKUP(A104,cennik!A:G,2,FALSE)</f>
        <v>SEVROLL 06269 Elegant II spodné vedenie 1,7m čierna štrukturálna</v>
      </c>
      <c r="F104" s="424"/>
      <c r="G104" s="422"/>
      <c r="H104" s="422">
        <v>1700</v>
      </c>
      <c r="I104" s="1" t="str">
        <f>CONCATENATE(H104,"-",J22,", ",J19)</f>
        <v>1700-čierna štrukturálna, Elegant II</v>
      </c>
    </row>
    <row r="105" spans="1:26" ht="15" customHeight="1" x14ac:dyDescent="0.3">
      <c r="A105" s="196">
        <v>526509</v>
      </c>
      <c r="B105" s="422"/>
      <c r="C105" s="1" t="str">
        <f>CONCATENATE(H105,"-",J22,", ",J19)</f>
        <v>2350-čierna štrukturálna, Elegant II</v>
      </c>
      <c r="D105" s="196">
        <v>526509</v>
      </c>
      <c r="E105" s="424" t="str">
        <f>+VLOOKUP(A105,cennik!A:G,2,FALSE)</f>
        <v>SEVROLL 06270 Elegant II spodné vedenie 2,35m čierna štrukturálna</v>
      </c>
      <c r="F105" s="424"/>
      <c r="G105" s="422"/>
      <c r="H105" s="422">
        <v>2350</v>
      </c>
      <c r="I105" s="1" t="str">
        <f>CONCATENATE(H105,"-",J22,", ",J19)</f>
        <v>2350-čierna štrukturálna, Elegant II</v>
      </c>
    </row>
    <row r="106" spans="1:26" ht="15" customHeight="1" x14ac:dyDescent="0.3">
      <c r="A106" s="196">
        <v>526510</v>
      </c>
      <c r="B106" s="422"/>
      <c r="C106" s="1" t="str">
        <f>CONCATENATE(H106,"-",J22,", ",J19)</f>
        <v>3000-čierna štrukturálna, Elegant II</v>
      </c>
      <c r="D106" s="196">
        <v>526510</v>
      </c>
      <c r="E106" s="424" t="str">
        <f>+VLOOKUP(A106,cennik!A:G,2,FALSE)</f>
        <v>SEVROLL 06271 Elegant II spodné vedenie 3m čierna štrukturálna</v>
      </c>
      <c r="F106" s="424"/>
      <c r="G106" s="422"/>
      <c r="H106" s="422">
        <v>3000</v>
      </c>
      <c r="I106" s="1" t="str">
        <f>CONCATENATE(H106,"-",J22,", ",J19)</f>
        <v>3000-čierna štrukturálna, Elegant II</v>
      </c>
    </row>
    <row r="107" spans="1:26" ht="15" customHeight="1" x14ac:dyDescent="0.3">
      <c r="A107" s="196">
        <v>526511</v>
      </c>
      <c r="B107" s="422"/>
      <c r="C107" s="1" t="str">
        <f>CONCATENATE(H107,"-",J22,", ",J19)</f>
        <v>4050-čierna štrukturálna, Elegant II</v>
      </c>
      <c r="D107" s="196">
        <v>526511</v>
      </c>
      <c r="E107" s="424" t="str">
        <f>+VLOOKUP(A107,cennik!A:G,2,FALSE)</f>
        <v>SEVROLL 06272 Elegant II spodné vedenie 4,05m čierna štrukturálna</v>
      </c>
      <c r="F107" s="424"/>
      <c r="G107" s="422"/>
      <c r="H107" s="422">
        <v>4050</v>
      </c>
      <c r="I107" s="1" t="str">
        <f>CONCATENATE(H107,"-",J22,", ",J19)</f>
        <v>4050-čierna štrukturálna, Elegant II</v>
      </c>
    </row>
    <row r="108" spans="1:26" ht="15" customHeight="1" x14ac:dyDescent="0.3">
      <c r="A108" s="196">
        <v>526512</v>
      </c>
      <c r="B108" s="422"/>
      <c r="C108" s="1" t="str">
        <f>CONCATENATE(H108,"-",J22,", ",J19)</f>
        <v>6000-čierna štrukturálna, Elegant II</v>
      </c>
      <c r="D108" s="196">
        <v>526512</v>
      </c>
      <c r="E108" s="424" t="str">
        <f>+VLOOKUP(A108,cennik!A:G,2,FALSE)</f>
        <v>SEVROLL 06128 Elegant II spodné vedenie 6m čierna štrukturálna</v>
      </c>
      <c r="F108" s="424"/>
      <c r="G108" s="422"/>
      <c r="H108" s="422">
        <v>6000</v>
      </c>
      <c r="I108" s="1" t="str">
        <f>CONCATENATE(H108,"-",J22,", ",J19)</f>
        <v>6000-čierna štrukturálna, Elegant II</v>
      </c>
    </row>
    <row r="109" spans="1:26" s="442" customFormat="1" ht="15" customHeight="1" x14ac:dyDescent="0.3">
      <c r="A109" s="441">
        <v>276743</v>
      </c>
      <c r="C109" s="1" t="str">
        <f>CONCATENATE(H109,"-",J18,", ",J19)</f>
        <v>3000-biela mat, Elegant II</v>
      </c>
      <c r="D109" s="441">
        <v>276743</v>
      </c>
      <c r="E109" s="443" t="s">
        <v>1178</v>
      </c>
      <c r="F109" s="443" t="s">
        <v>1178</v>
      </c>
      <c r="H109" s="442">
        <v>3000</v>
      </c>
      <c r="I109" s="1" t="str">
        <f>CONCATENATE(H109,"-",J18,", ",J19)</f>
        <v>3000-biela mat, Elegant II</v>
      </c>
      <c r="Z109" s="1" t="b">
        <f t="shared" si="4"/>
        <v>1</v>
      </c>
    </row>
    <row r="110" spans="1:26" s="442" customFormat="1" ht="15" customHeight="1" x14ac:dyDescent="0.3">
      <c r="A110" s="441">
        <v>394792</v>
      </c>
      <c r="C110" s="1" t="str">
        <f>CONCATENATE(H110,"-",J18,", ",J19)</f>
        <v>1700-biela mat, Elegant II</v>
      </c>
      <c r="D110" s="441">
        <v>394792</v>
      </c>
      <c r="E110" s="443" t="s">
        <v>1496</v>
      </c>
      <c r="F110" s="443" t="s">
        <v>1496</v>
      </c>
      <c r="H110" s="442">
        <v>1700</v>
      </c>
      <c r="I110" s="1" t="str">
        <f>CONCATENATE(H110,"-",J18,", ",J19)</f>
        <v>1700-biela mat, Elegant II</v>
      </c>
      <c r="Z110" s="1" t="b">
        <f t="shared" si="4"/>
        <v>1</v>
      </c>
    </row>
    <row r="111" spans="1:26" s="442" customFormat="1" ht="15" customHeight="1" x14ac:dyDescent="0.3">
      <c r="A111" s="441">
        <v>394795</v>
      </c>
      <c r="C111" s="1" t="str">
        <f>CONCATENATE(H111,"-",J18,", ",J19)</f>
        <v>2350-biela mat, Elegant II</v>
      </c>
      <c r="D111" s="441">
        <v>394795</v>
      </c>
      <c r="E111" s="443" t="s">
        <v>1497</v>
      </c>
      <c r="F111" s="443" t="s">
        <v>1497</v>
      </c>
      <c r="H111" s="442">
        <v>2350</v>
      </c>
      <c r="I111" s="1" t="str">
        <f>CONCATENATE(H111,"-",J18,", ",J19)</f>
        <v>2350-biela mat, Elegant II</v>
      </c>
      <c r="Z111" s="1" t="b">
        <f t="shared" si="4"/>
        <v>1</v>
      </c>
    </row>
    <row r="112" spans="1:26" s="442" customFormat="1" ht="15" customHeight="1" x14ac:dyDescent="0.3">
      <c r="A112" s="441">
        <v>394796</v>
      </c>
      <c r="C112" s="1" t="str">
        <f>CONCATENATE(H112,"-",J18,", ",J19)</f>
        <v>4050-biela mat, Elegant II</v>
      </c>
      <c r="D112" s="441">
        <v>394796</v>
      </c>
      <c r="E112" s="443" t="s">
        <v>1498</v>
      </c>
      <c r="F112" s="443" t="s">
        <v>1498</v>
      </c>
      <c r="H112" s="442">
        <v>4050</v>
      </c>
      <c r="I112" s="1" t="str">
        <f>CONCATENATE(H112,"-",J18,", ",J19)</f>
        <v>4050-biela mat, Elegant II</v>
      </c>
      <c r="Z112" s="1" t="b">
        <f t="shared" si="4"/>
        <v>1</v>
      </c>
    </row>
    <row r="113" spans="1:26" s="442" customFormat="1" ht="15" customHeight="1" x14ac:dyDescent="0.3">
      <c r="A113" s="441">
        <v>394800</v>
      </c>
      <c r="C113" s="1" t="str">
        <f>CONCATENATE(H113,"-",J18,", ",J19)</f>
        <v>6000-biela mat, Elegant II</v>
      </c>
      <c r="D113" s="441">
        <v>394800</v>
      </c>
      <c r="E113" s="443" t="s">
        <v>1499</v>
      </c>
      <c r="F113" s="443" t="s">
        <v>1499</v>
      </c>
      <c r="H113" s="442">
        <v>6000</v>
      </c>
      <c r="I113" s="1" t="str">
        <f>CONCATENATE(H113,"-",J18,", ",J19)</f>
        <v>6000-biela mat,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1700-strieborná , Elegant II</v>
      </c>
      <c r="D115" s="49">
        <v>318657</v>
      </c>
      <c r="E115" s="48" t="str">
        <f>+VLOOKUP(A115,cennik!A:G,2,FALSE)</f>
        <v>SEVROLL 04302 maska Elegant II 1,7m strieborná</v>
      </c>
      <c r="F115" s="48" t="str">
        <f>+VLOOKUP(A115,cennik!A:B,2,FALSE)</f>
        <v>SEVROLL 04302 maska Elegant II 1,7m strieborná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1700-strieborná 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2350-strieborná , Elegant II</v>
      </c>
      <c r="D116" s="49">
        <v>318660</v>
      </c>
      <c r="E116" s="48" t="str">
        <f>+VLOOKUP(A116,cennik!A:G,2,FALSE)</f>
        <v>SEVROLL 04303 maska Elegant II 2,35m strieborná</v>
      </c>
      <c r="F116" s="48" t="str">
        <f>+VLOOKUP(A116,cennik!A:B,2,FALSE)</f>
        <v>SEVROLL 04303 maska Elegant II 2,35m strieborná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2350-strieborná 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3000-strieborná , Elegant II</v>
      </c>
      <c r="D117" s="49">
        <v>345408</v>
      </c>
      <c r="E117" s="48" t="str">
        <f>+VLOOKUP(A117,cennik!A:G,2,FALSE)</f>
        <v>SEVROLL 04304 maska Elegant II 3m strieborná</v>
      </c>
      <c r="F117" s="48" t="str">
        <f>+VLOOKUP(A117,cennik!A:B,2,FALSE)</f>
        <v>SEVROLL 04304 maska Elegant II 3m strieborná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3000-strieborná 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4050-strieborná , Elegant II</v>
      </c>
      <c r="D118" s="49">
        <v>345776</v>
      </c>
      <c r="E118" s="48" t="str">
        <f>+VLOOKUP(A118,cennik!A:G,2,FALSE)</f>
        <v>SEVROLL 04305 maska Elegant II 4,05m strieborná</v>
      </c>
      <c r="F118" s="48" t="str">
        <f>+VLOOKUP(A118,cennik!A:B,2,FALSE)</f>
        <v>SEVROLL 04305 maska Elegant II 4,05m strieborná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4050-strieborná 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6000-strieborná , Elegant II</v>
      </c>
      <c r="D119" s="168">
        <v>346118</v>
      </c>
      <c r="E119" s="48" t="str">
        <f>+VLOOKUP(A119,cennik!A:G,2,FALSE)</f>
        <v>SEVROLL 04307 maska Elegant II 6m strieborná</v>
      </c>
      <c r="F119" s="48" t="str">
        <f>+VLOOKUP(A119,cennik!A:B,2,FALSE)</f>
        <v>SEVROLL 04307 maska Elegant II 6m strieborná</v>
      </c>
      <c r="H119" s="1">
        <v>6000</v>
      </c>
      <c r="I119" s="1" t="str">
        <f>CONCATENATE(H119,"-",J4,", ",J19)</f>
        <v>6000-strieborná 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1700-oliva, Elegant II</v>
      </c>
      <c r="D120" s="49">
        <v>318655</v>
      </c>
      <c r="E120" s="48" t="str">
        <f>+VLOOKUP(A120,cennik!A:G,2,FALSE)</f>
        <v>SEVROLL 04296 maska Elegant II 1,7m oliva</v>
      </c>
      <c r="F120" s="48" t="str">
        <f>+VLOOKUP(A120,cennik!A:B,2,FALSE)</f>
        <v>SEVROLL 04296 maska Elegant II 1,7m oliva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1700-oliva,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2350-oliva, Elegant II</v>
      </c>
      <c r="D121" s="49">
        <v>318658</v>
      </c>
      <c r="E121" s="48" t="str">
        <f>+VLOOKUP(A121,cennik!A:G,2,FALSE)</f>
        <v>SEVROLL 04297 maska Elegant II 2,35m oliva</v>
      </c>
      <c r="F121" s="48" t="str">
        <f>+VLOOKUP(A121,cennik!A:B,2,FALSE)</f>
        <v>SEVROLL 04297 maska Elegant II 2,35m oliva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2350-oliva,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3000-oliva, Elegant II</v>
      </c>
      <c r="D122" s="49">
        <v>345409</v>
      </c>
      <c r="E122" s="48" t="str">
        <f>+VLOOKUP(A122,cennik!A:G,2,FALSE)</f>
        <v>SEVROLL 04298 maska Elegant II 3m oliva</v>
      </c>
      <c r="F122" s="48" t="str">
        <f>+VLOOKUP(A122,cennik!A:B,2,FALSE)</f>
        <v>SEVROLL 04298 maska Elegant II 3m oliva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3000-oliva,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4050-oliva, Elegant II</v>
      </c>
      <c r="D123" s="49">
        <v>345777</v>
      </c>
      <c r="E123" s="48" t="str">
        <f>+VLOOKUP(A123,cennik!A:G,2,FALSE)</f>
        <v>SEVROLL 04299 maska Elegant II 4,05m oliva</v>
      </c>
      <c r="F123" s="48" t="str">
        <f>+VLOOKUP(A123,cennik!A:B,2,FALSE)</f>
        <v>SEVROLL 04299 maska Elegant II 4,05m oliva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4050-oliva,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6000-oliva, Elegant II</v>
      </c>
      <c r="D124" s="49">
        <v>346119</v>
      </c>
      <c r="E124" s="48" t="str">
        <f>+VLOOKUP(A124,cennik!A:G,2,FALSE)</f>
        <v>SEVROLL 04301 maska Elegant II 6m oliva</v>
      </c>
      <c r="F124" s="48" t="str">
        <f>+VLOOKUP(A124,cennik!A:B,2,FALSE)</f>
        <v>SEVROLL 04301 maska Elegant II 6m oliva</v>
      </c>
      <c r="H124" s="1">
        <v>6000</v>
      </c>
      <c r="I124" s="1" t="str">
        <f>CONCATENATE(H124,"-",J6,", ",J19)</f>
        <v>6000-oliva,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1700-oliva kartáčovaná, Elegant II</v>
      </c>
      <c r="D125" s="49">
        <v>345401</v>
      </c>
      <c r="E125" s="48" t="str">
        <f>+VLOOKUP(A125,cennik!A:G,2,FALSE)</f>
        <v>SEVROLL 04348-Y maska Elegant II 1,7m oliva kartáčovaná</v>
      </c>
      <c r="F125" s="48" t="str">
        <f>+VLOOKUP(A125,cennik!A:B,2,FALSE)</f>
        <v>SEVROLL 04348-Y maska Elegant II 1,7m oliva kartáčovaná</v>
      </c>
      <c r="H125" s="1">
        <v>1700</v>
      </c>
      <c r="I125" s="1" t="str">
        <f>CONCATENATE(H125,"-",J7,", ",J19)</f>
        <v>1700-oliva kartáčovaná,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2350-oliva kartáčovaná, Elegant II</v>
      </c>
      <c r="D126" s="49">
        <v>345404</v>
      </c>
      <c r="E126" s="48" t="str">
        <f>+VLOOKUP(A126,cennik!A:G,2,FALSE)</f>
        <v>SEVROLL 04349-Y maska Elegant II 2,35m oliva kartáčovaná</v>
      </c>
      <c r="F126" s="48" t="str">
        <f>+VLOOKUP(A126,cennik!A:B,2,FALSE)</f>
        <v>SEVROLL 04349-Y maska Elegant II 2,35m oliva kartáčovaná</v>
      </c>
      <c r="H126" s="1">
        <v>2350</v>
      </c>
      <c r="I126" s="1" t="str">
        <f>CONCATENATE(H126,"-",J7,", ",J19)</f>
        <v>2350-oliva kartáčovaná,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3000-oliva kartáčovaná, Elegant II</v>
      </c>
      <c r="D127" s="49">
        <v>345410</v>
      </c>
      <c r="E127" s="48" t="str">
        <f>+VLOOKUP(A127,cennik!A:G,2,FALSE)</f>
        <v>SEVROLL 04350-Y maska Elegant II 3m oliva kartáčovaná</v>
      </c>
      <c r="F127" s="48" t="str">
        <f>+VLOOKUP(A127,cennik!A:B,2,FALSE)</f>
        <v>SEVROLL 04350-Y maska Elegant II 3m oliva kartáčovaná</v>
      </c>
      <c r="H127" s="1">
        <v>3000</v>
      </c>
      <c r="I127" s="1" t="str">
        <f>CONCATENATE(H127,"-",J7,", ",J19)</f>
        <v>3000-oliva kartáčovaná,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4050-oliva kartáčovaná, Elegant II</v>
      </c>
      <c r="D128" s="49">
        <v>346114</v>
      </c>
      <c r="E128" s="48" t="str">
        <f>+VLOOKUP(A128,cennik!A:G,2,FALSE)</f>
        <v>SEVROLL 04351-Y maska Elegant II 4,05m oliva kartáčovaná</v>
      </c>
      <c r="F128" s="48" t="str">
        <f>+VLOOKUP(A128,cennik!A:B,2,FALSE)</f>
        <v>SEVROLL 04351-Y maska Elegant II 4,05m oliva kartáčovaná</v>
      </c>
      <c r="H128" s="1">
        <v>4050</v>
      </c>
      <c r="I128" s="1" t="str">
        <f>CONCATENATE(H128,"-",J7,", ",J19)</f>
        <v>4050-oliva kartáčovaná,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6000-oliva kartáčovaná, Elegant II</v>
      </c>
      <c r="D129" s="49">
        <v>346120</v>
      </c>
      <c r="E129" s="48" t="str">
        <f>+VLOOKUP(A129,cennik!A:G,2,FALSE)</f>
        <v>SEVROLL 04352-Y maska Elegant II 6m oliva kartáčovaná</v>
      </c>
      <c r="F129" s="48" t="str">
        <f>+VLOOKUP(A129,cennik!A:B,2,FALSE)</f>
        <v>SEVROLL 04352-Y maska Elegant II 6m oliva kartáčovaná</v>
      </c>
      <c r="H129" s="1">
        <v>6000</v>
      </c>
      <c r="I129" s="1" t="str">
        <f>CONCATENATE(H129,"-",J7,", ",J19)</f>
        <v>6000-oliva kartáčovaná,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1700-kart. tm. oliva, Elegant II</v>
      </c>
      <c r="D130" s="49">
        <v>345402</v>
      </c>
      <c r="E130" s="48" t="str">
        <f>+VLOOKUP(A130,cennik!A:G,2,FALSE)</f>
        <v>SEVROLL 04358 maska Elegant II 1,7m oliva tmavá kartáčovaná</v>
      </c>
      <c r="F130" s="48" t="str">
        <f>+VLOOKUP(A130,cennik!A:B,2,FALSE)</f>
        <v>SEVROLL 04358 maska Elegant II 1,7m oliva tmavá kartáčovaná</v>
      </c>
      <c r="H130" s="1">
        <v>1700</v>
      </c>
      <c r="I130" s="1" t="str">
        <f>CONCATENATE(H130,"-",J8,", ",J19)</f>
        <v>1700-kart. tm. oliva,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2350-kart. tm. oliva, Elegant II</v>
      </c>
      <c r="D131" s="49">
        <v>345405</v>
      </c>
      <c r="E131" s="48" t="str">
        <f>+VLOOKUP(A131,cennik!A:G,2,FALSE)</f>
        <v>SEVROLL 04359 maska Elegant II 2,35 oliva tmavá kartáčovaná</v>
      </c>
      <c r="F131" s="48" t="str">
        <f>+VLOOKUP(A131,cennik!A:B,2,FALSE)</f>
        <v>SEVROLL 04359 maska Elegant II 2,35 oliva tmavá kartáčovaná</v>
      </c>
      <c r="H131" s="1">
        <v>2350</v>
      </c>
      <c r="I131" s="1" t="str">
        <f>CONCATENATE(H131,"-",J8,", ",J19)</f>
        <v>2350-kart. tm. oliva,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3000-kart. tm. oliva, Elegant II</v>
      </c>
      <c r="D132" s="49">
        <v>345411</v>
      </c>
      <c r="E132" s="48" t="str">
        <f>+VLOOKUP(A132,cennik!A:G,2,FALSE)</f>
        <v>SEVROLL 04360 maska Elegant II 3m oliva tmavá kartáčovaná</v>
      </c>
      <c r="F132" s="48" t="str">
        <f>+VLOOKUP(A132,cennik!A:B,2,FALSE)</f>
        <v>SEVROLL 04360 maska Elegant II 3m oliva tmavá kartáčovaná</v>
      </c>
      <c r="H132" s="1">
        <v>3000</v>
      </c>
      <c r="I132" s="1" t="str">
        <f>CONCATENATE(H132,"-",J8,", ",J19)</f>
        <v>3000-kart. tm. oliva,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4050-kart. tm. oliva, Elegant II</v>
      </c>
      <c r="D133" s="49">
        <v>346115</v>
      </c>
      <c r="E133" s="48" t="str">
        <f>+VLOOKUP(A133,cennik!A:G,2,FALSE)</f>
        <v>SEVROLL 04361 maska Elegant II 4,05m oliva tmavá kartáčovaná</v>
      </c>
      <c r="F133" s="48" t="str">
        <f>+VLOOKUP(A133,cennik!A:B,2,FALSE)</f>
        <v>SEVROLL 04361 maska Elegant II 4,05m oliva tmavá kartáčovaná</v>
      </c>
      <c r="H133" s="1">
        <v>4050</v>
      </c>
      <c r="I133" s="1" t="str">
        <f>CONCATENATE(H133,"-",J8,", ",J19)</f>
        <v>4050-kart. tm. oliva,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6000-kart. tm. oliva, Elegant II</v>
      </c>
      <c r="D134" s="49">
        <v>346121</v>
      </c>
      <c r="E134" s="48" t="str">
        <f>+VLOOKUP(A134,cennik!A:G,2,FALSE)</f>
        <v>SEVROLL 04362 maska Elegant II 6m oliva tmavá kartáčovaná</v>
      </c>
      <c r="F134" s="48" t="str">
        <f>+VLOOKUP(A134,cennik!A:B,2,FALSE)</f>
        <v>SEVROLL 04362 maska Elegant II 6m oliva tmavá kartáčovaná</v>
      </c>
      <c r="H134" s="1">
        <v>6000</v>
      </c>
      <c r="I134" s="1" t="str">
        <f>CONCATENATE(H134,"-",J8,", ",J19)</f>
        <v>6000-kart. tm. oliva,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1700-kart. čierna, Elegant II</v>
      </c>
      <c r="D135" s="49">
        <v>345403</v>
      </c>
      <c r="E135" s="48" t="str">
        <f>+VLOOKUP(A135,cennik!A:G,2,FALSE)</f>
        <v>SEVROLL 04353 maska Elegant II 1,7m čierna  kartáčovaná</v>
      </c>
      <c r="F135" s="48" t="str">
        <f>+VLOOKUP(A135,cennik!A:B,2,FALSE)</f>
        <v>SEVROLL 04353 maska Elegant II 1,7m čierna  kartáčovaná</v>
      </c>
      <c r="H135" s="1">
        <v>1700</v>
      </c>
      <c r="I135" s="1" t="str">
        <f>CONCATENATE(H135,"-",J9,", ",J19)</f>
        <v>1700-kart. čierna,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2350-kart. čierna, Elegant II</v>
      </c>
      <c r="D136" s="49">
        <v>345407</v>
      </c>
      <c r="E136" s="48" t="str">
        <f>+VLOOKUP(A136,cennik!A:G,2,FALSE)</f>
        <v>SEVROLL 04354 maska Elegant II 2,35m čierna  kartáčovaná</v>
      </c>
      <c r="F136" s="48" t="str">
        <f>+VLOOKUP(A136,cennik!A:B,2,FALSE)</f>
        <v>SEVROLL 04354 maska Elegant II 2,35m čierna  kartáčovaná</v>
      </c>
      <c r="H136" s="1">
        <v>2350</v>
      </c>
      <c r="I136" s="1" t="str">
        <f>CONCATENATE(H136,"-",J9,", ",J19)</f>
        <v>2350-kart. čierna,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3000-kart. čierna, Elegant II</v>
      </c>
      <c r="D137" s="49">
        <v>345412</v>
      </c>
      <c r="E137" s="48" t="str">
        <f>+VLOOKUP(A137,cennik!A:G,2,FALSE)</f>
        <v>SEVROLL 04355 maska Elegant II 3m čierna  kartáčovaná</v>
      </c>
      <c r="F137" s="48" t="str">
        <f>+VLOOKUP(A137,cennik!A:B,2,FALSE)</f>
        <v>SEVROLL 04355 maska Elegant II 3m čierna  kartáčovaná</v>
      </c>
      <c r="H137" s="1">
        <v>3000</v>
      </c>
      <c r="I137" s="1" t="str">
        <f>CONCATENATE(H137,"-",J9,", ",J19)</f>
        <v>3000-kart. čierna,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4050-kart. čierna, Elegant II</v>
      </c>
      <c r="D138" s="49">
        <v>346116</v>
      </c>
      <c r="E138" s="48" t="str">
        <f>+VLOOKUP(A138,cennik!A:G,2,FALSE)</f>
        <v>SEVROLL 04356 maska Elegant II 4,05m čierna  kartáčovaná</v>
      </c>
      <c r="F138" s="48" t="str">
        <f>+VLOOKUP(A138,cennik!A:B,2,FALSE)</f>
        <v>SEVROLL 04356 maska Elegant II 4,05m čierna  kartáčovaná</v>
      </c>
      <c r="H138" s="1">
        <v>4050</v>
      </c>
      <c r="I138" s="1" t="str">
        <f>CONCATENATE(H138,"-",J9,", ",J19)</f>
        <v>4050-kart. čierna,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6000-kart. čierna, Elegant II</v>
      </c>
      <c r="D139" s="49">
        <v>346122</v>
      </c>
      <c r="E139" s="48" t="str">
        <f>+VLOOKUP(A139,cennik!A:G,2,FALSE)</f>
        <v>SEVROLL 04357 maska Elegant II 6m čierna kartáčovaná</v>
      </c>
      <c r="F139" s="48" t="str">
        <f>+VLOOKUP(A139,cennik!A:B,2,FALSE)</f>
        <v>SEVROLL 04357 maska Elegant II 6m čierna kartáčovaná</v>
      </c>
      <c r="H139" s="1">
        <v>6000</v>
      </c>
      <c r="I139" s="1" t="str">
        <f>CONCATENATE(H139,"-",J9,", ",J19)</f>
        <v>6000-kart. čierna,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1700-biela lesk, Elegant II</v>
      </c>
      <c r="D140" s="49">
        <v>318656</v>
      </c>
      <c r="E140" s="48" t="str">
        <f>+VLOOKUP(A140,cennik!A:G,2,FALSE)</f>
        <v>SEVROLL 04313 maska Elegant II 1,7m biela lesk</v>
      </c>
      <c r="F140" s="48" t="str">
        <f>+VLOOKUP(A140,cennik!A:B,2,FALSE)</f>
        <v>SEVROLL 04313 maska Elegant II 1,7m biela lesk</v>
      </c>
      <c r="H140" s="1">
        <v>1700</v>
      </c>
      <c r="I140" s="1" t="str">
        <f>CONCATENATE(H140,"-",J15,", ",J19)</f>
        <v>1700-biela lesk,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2350-biela lesk, Elegant II</v>
      </c>
      <c r="D141" s="49">
        <v>318659</v>
      </c>
      <c r="E141" s="48" t="str">
        <f>+VLOOKUP(A141,cennik!A:G,2,FALSE)</f>
        <v>SEVROLL 04314 maska Elegant II 2,35m biela lesk</v>
      </c>
      <c r="F141" s="48" t="str">
        <f>+VLOOKUP(A141,cennik!A:B,2,FALSE)</f>
        <v>SEVROLL 04314 maska Elegant II 2,35m biela lesk</v>
      </c>
      <c r="H141" s="1">
        <v>2350</v>
      </c>
      <c r="I141" s="1" t="str">
        <f>CONCATENATE(H141,"-",J15,", ",J19)</f>
        <v>2350-biela lesk,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3000-biela lesk, Elegant II</v>
      </c>
      <c r="D142" s="49">
        <v>345413</v>
      </c>
      <c r="E142" s="48" t="str">
        <f>+VLOOKUP(A142,cennik!A:G,2,FALSE)</f>
        <v>SEVROLL 04315 maska Elegant II 3m biela lesk</v>
      </c>
      <c r="F142" s="48" t="str">
        <f>+VLOOKUP(A142,cennik!A:B,2,FALSE)</f>
        <v>SEVROLL 04315 maska Elegant II 3m biela lesk</v>
      </c>
      <c r="H142" s="1">
        <v>3000</v>
      </c>
      <c r="I142" s="1" t="str">
        <f>CONCATENATE(H142,"-",J15,", ",J19)</f>
        <v>3000-biela lesk,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4050-biela lesk, Elegant II</v>
      </c>
      <c r="D143" s="49">
        <v>346117</v>
      </c>
      <c r="E143" s="48" t="str">
        <f>+VLOOKUP(A143,cennik!A:G,2,FALSE)</f>
        <v>SEVROLL 04316 maska Elegant II 4,05m biela lesk</v>
      </c>
      <c r="F143" s="48" t="str">
        <f>+VLOOKUP(A143,cennik!A:B,2,FALSE)</f>
        <v>SEVROLL 04316 maska Elegant II 4,05m biela lesk</v>
      </c>
      <c r="H143" s="1">
        <v>4050</v>
      </c>
      <c r="I143" s="1" t="str">
        <f>CONCATENATE(H143,"-",J15,", ",J19)</f>
        <v>4050-biela lesk,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6000-biela lesk, Elegant II</v>
      </c>
      <c r="D144" s="49">
        <v>346123</v>
      </c>
      <c r="E144" s="48" t="str">
        <f>+VLOOKUP(A144,cennik!A:G,2,FALSE)</f>
        <v>SEVROLL 04317 maska Elegant II 6m biela lesk</v>
      </c>
      <c r="F144" s="48" t="str">
        <f>+VLOOKUP(A144,cennik!A:B,2,FALSE)</f>
        <v>SEVROLL 04317 maska Elegant II 6m biela lesk</v>
      </c>
      <c r="H144" s="1">
        <v>6000</v>
      </c>
      <c r="I144" s="1" t="str">
        <f>CONCATENATE(H144,"-",J15,", ",J19)</f>
        <v>6000-biela lesk, Elegant II</v>
      </c>
      <c r="Z144" s="1" t="b">
        <f t="shared" si="4"/>
        <v>1</v>
      </c>
    </row>
    <row r="145" spans="1:26" ht="15" customHeight="1" x14ac:dyDescent="0.3">
      <c r="A145" s="49">
        <v>318638</v>
      </c>
      <c r="B145" s="48"/>
      <c r="C145" s="1" t="str">
        <f>CONCATENATE(H145,"-",J5,", ",J19)</f>
        <v>1700-zlatá, Elegant II</v>
      </c>
      <c r="D145" s="49">
        <v>318638</v>
      </c>
      <c r="E145" s="48" t="str">
        <f>+VLOOKUP(A145,cennik!A:G,2,FALSE)</f>
        <v>SEVROLL maska Elegant II 1,7m zlatá</v>
      </c>
      <c r="F145" s="48" t="str">
        <f>+VLOOKUP(A145,cennik!A:B,2,FALSE)</f>
        <v>SEVROLL maska Elegant II 1,7m zlatá</v>
      </c>
      <c r="H145" s="1" t="s">
        <v>464</v>
      </c>
      <c r="I145" s="1" t="str">
        <f>CONCATENATE(H145,"-",J5,", ",J19)</f>
        <v>1700-zlatá, Elegant II</v>
      </c>
      <c r="Z145" s="1" t="b">
        <f t="shared" ref="Z145:Z213" si="5">A145=D145</f>
        <v>1</v>
      </c>
    </row>
    <row r="146" spans="1:26" ht="15" customHeight="1" x14ac:dyDescent="0.3">
      <c r="A146" s="49">
        <v>318643</v>
      </c>
      <c r="B146" s="48"/>
      <c r="C146" s="1" t="str">
        <f>CONCATENATE(H146,"-",J5,", ",J19)</f>
        <v>2350-zlatá, Elegant II</v>
      </c>
      <c r="D146" s="49">
        <v>318643</v>
      </c>
      <c r="E146" s="48" t="str">
        <f>+VLOOKUP(A146,cennik!A:G,2,FALSE)</f>
        <v>SEVROLL maska Elegant II 2,35m zlatá</v>
      </c>
      <c r="F146" s="48" t="str">
        <f>+VLOOKUP(A146,cennik!A:B,2,FALSE)</f>
        <v>SEVROLL maska Elegant II 2,35m zlatá</v>
      </c>
      <c r="H146" s="1" t="s">
        <v>465</v>
      </c>
      <c r="I146" s="1" t="str">
        <f>CONCATENATE(H146,"-",J5,", ",J19)</f>
        <v>2350-zlatá, Elegant II</v>
      </c>
      <c r="Z146" s="1" t="b">
        <f t="shared" si="5"/>
        <v>1</v>
      </c>
    </row>
    <row r="147" spans="1:26" ht="15" customHeight="1" x14ac:dyDescent="0.3">
      <c r="A147" s="49">
        <v>318644</v>
      </c>
      <c r="B147" s="48"/>
      <c r="C147" s="1" t="str">
        <f>CONCATENATE(H147,"-",J5,", ",J19)</f>
        <v>3000-zlatá, Elegant II</v>
      </c>
      <c r="D147" s="49">
        <v>318644</v>
      </c>
      <c r="E147" s="48" t="str">
        <f>+VLOOKUP(A147,cennik!A:G,2,FALSE)</f>
        <v>SEVROLL maska Elegant II 3m zlatá</v>
      </c>
      <c r="F147" s="48" t="str">
        <f>+VLOOKUP(A147,cennik!A:B,2,FALSE)</f>
        <v>SEVROLL maska Elegant II 3m zlatá</v>
      </c>
      <c r="H147" s="1" t="s">
        <v>466</v>
      </c>
      <c r="I147" s="1" t="str">
        <f>CONCATENATE(H147,"-",J5,", ",J19)</f>
        <v>3000-zlatá, Elegant II</v>
      </c>
      <c r="Z147" s="1" t="b">
        <f t="shared" si="5"/>
        <v>1</v>
      </c>
    </row>
    <row r="148" spans="1:26" ht="15" customHeight="1" x14ac:dyDescent="0.3">
      <c r="A148" s="49">
        <v>318645</v>
      </c>
      <c r="B148" s="48"/>
      <c r="C148" s="1" t="str">
        <f>CONCATENATE(H148,"-",J5,", ",J19)</f>
        <v>4050-zlatá, Elegant II</v>
      </c>
      <c r="D148" s="49">
        <v>318645</v>
      </c>
      <c r="E148" s="48" t="str">
        <f>+VLOOKUP(A148,cennik!A:G,2,FALSE)</f>
        <v>SEVROLL maska Elegant II 4,05m zlatá</v>
      </c>
      <c r="F148" s="48" t="str">
        <f>+VLOOKUP(A148,cennik!A:B,2,FALSE)</f>
        <v>SEVROLL maska Elegant II 4,05m zlatá</v>
      </c>
      <c r="H148" s="1" t="s">
        <v>467</v>
      </c>
      <c r="I148" s="1" t="str">
        <f>CONCATENATE(H148,"-",J5,", ",J19)</f>
        <v>4050-zlatá, Elegant II</v>
      </c>
      <c r="Z148" s="1" t="b">
        <f t="shared" si="5"/>
        <v>1</v>
      </c>
    </row>
    <row r="149" spans="1:26" ht="15" customHeight="1" x14ac:dyDescent="0.3">
      <c r="A149" s="49">
        <v>318646</v>
      </c>
      <c r="B149" s="48"/>
      <c r="C149" s="1" t="str">
        <f>CONCATENATE(H149,"-",J5,", ",J19)</f>
        <v>6000-zlatá, Elegant II</v>
      </c>
      <c r="D149" s="49">
        <v>318646</v>
      </c>
      <c r="E149" s="48" t="str">
        <f>+VLOOKUP(A149,cennik!A:G,2,FALSE)</f>
        <v>SEVROLL 04312 maska ??Elegant II 6m zlatá</v>
      </c>
      <c r="F149" s="48" t="str">
        <f>+VLOOKUP(A149,cennik!A:B,2,FALSE)</f>
        <v>SEVROLL 04312 maska ??Elegant II 6m zlatá</v>
      </c>
      <c r="H149" s="1">
        <v>6000</v>
      </c>
      <c r="I149" s="1" t="str">
        <f>CONCATENATE(H149,"-",J5,", ",J19)</f>
        <v>6000-zlatá,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1700-strieborná 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1700-strieborná 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2350-strieborná 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2350-strieborná 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3000-strieborná 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3000-strieborná 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4050-strieborná 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4050-strieborná 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6000-strieborná 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6000-strieborná 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1700-zlatá,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1700-zlatá,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2350-zlatá,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2350-zlatá,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3000-zlatá,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3000-zlatá,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4050-zlatá,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4050-zlatá,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6000-zlatá,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6000-zlatá,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1700-oliva,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1700-oliva,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2350-oliva,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2350-oliva,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3000-oliva,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3000-oliva,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4050-oliva,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4050-oliva,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6000-oliva,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6000-oliva,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1700-oliva kartáčovaná,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1700-oliva kartáčovaná,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2350-oliva kartáčovaná,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2350-oliva kartáčovaná,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3000-oliva kartáčovaná,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3000-oliva kartáčovaná,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4050-oliva kartáčovaná,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4050-oliva kartáčovaná,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6000-oliva kartáčovaná,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6000-oliva kartáčovaná,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1700-kart. tm. oliva,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1700-kart. tm. oliva,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2350-kart. tm. oliva,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2350-kart. tm. oliva,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3000-kart. tm. oliva,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3000-kart. tm. oliva,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4050-kart. tm. oliva,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4050-kart. tm. oliva,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6000-kart. tm. oliva,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6000-kart. tm. oliva,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1700-kart. čierna,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1700-kart. čierna,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2350-kart. čierna,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2350-kart. čierna,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3000-kart. čierna,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3000-kart. čierna,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4050-kart. čierna,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4050-kart. čierna,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6000-kart. čierna,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6000-kart. čierna,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1700-biela lesk,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1700-biela lesk,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2350-biela lesk,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2350-biela lesk,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3000-biela lesk,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3000-biela lesk,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4050-biela lesk,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4050-biela lesk,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6000-biela lesk,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6000-biela lesk, Gemini</v>
      </c>
      <c r="Z184" s="1" t="b">
        <f t="shared" si="5"/>
        <v>1</v>
      </c>
    </row>
    <row r="185" spans="1:26" ht="15" customHeight="1" x14ac:dyDescent="0.3">
      <c r="A185" s="423">
        <v>405427</v>
      </c>
      <c r="B185" s="422"/>
      <c r="C185" s="1" t="str">
        <f>CONCATENATE(H185,"-",J16,", ",J19)</f>
        <v>1700-čierna lesk, Elegant II</v>
      </c>
      <c r="D185" s="423">
        <v>405427</v>
      </c>
      <c r="E185" s="424" t="str">
        <f>+VLOOKUP(A185,cennik!A:G,2,FALSE)</f>
        <v>SEVROLL 05167 maska Elegant II 1,7m čierna lesk</v>
      </c>
      <c r="F185" s="424" t="str">
        <f>+VLOOKUP(A185,cennik!A:B,2,FALSE)</f>
        <v>SEVROLL 05167 maska Elegant II 1,7m čierna lesk</v>
      </c>
      <c r="G185" s="422"/>
      <c r="H185" s="422">
        <v>1700</v>
      </c>
      <c r="I185" s="1" t="str">
        <f>CONCATENATE(H185,"-",J16,", ",J19)</f>
        <v>1700-čierna lesk, Elegant II</v>
      </c>
      <c r="Z185" s="1" t="b">
        <f t="shared" si="5"/>
        <v>1</v>
      </c>
    </row>
    <row r="186" spans="1:26" ht="15" customHeight="1" x14ac:dyDescent="0.3">
      <c r="A186" s="423">
        <v>398553</v>
      </c>
      <c r="B186" s="422"/>
      <c r="C186" s="1" t="str">
        <f>CONCATENATE(H186,"-",J16,", ",J19)</f>
        <v>2350-čierna lesk, Elegant II</v>
      </c>
      <c r="D186" s="423">
        <v>398553</v>
      </c>
      <c r="E186" s="424" t="str">
        <f>+VLOOKUP(A186,cennik!A:G,2,FALSE)</f>
        <v>SEVROLL 05168 maska Elegant II 2,35m čierna lesk</v>
      </c>
      <c r="F186" s="424" t="str">
        <f>+VLOOKUP(A186,cennik!A:B,2,FALSE)</f>
        <v>SEVROLL 05168 maska Elegant II 2,35m čierna lesk</v>
      </c>
      <c r="G186" s="422"/>
      <c r="H186" s="422">
        <v>2350</v>
      </c>
      <c r="I186" s="1" t="str">
        <f>CONCATENATE(H186,"-",J16,", ",J19)</f>
        <v>2350-čierna lesk, Elegant II</v>
      </c>
      <c r="Z186" s="1" t="b">
        <f t="shared" si="5"/>
        <v>1</v>
      </c>
    </row>
    <row r="187" spans="1:26" ht="15" customHeight="1" x14ac:dyDescent="0.3">
      <c r="A187" s="423">
        <v>405428</v>
      </c>
      <c r="B187" s="422"/>
      <c r="C187" s="1" t="str">
        <f>CONCATENATE(H187,"-",J16,", ",J19)</f>
        <v>3000-čierna lesk, Elegant II</v>
      </c>
      <c r="D187" s="423">
        <v>405428</v>
      </c>
      <c r="E187" s="424" t="str">
        <f>+VLOOKUP(A187,cennik!A:G,2,FALSE)</f>
        <v>SEVROLL 05169 maska Elegant II 3m čierna lesk</v>
      </c>
      <c r="F187" s="424" t="str">
        <f>+VLOOKUP(A187,cennik!A:B,2,FALSE)</f>
        <v>SEVROLL 05169 maska Elegant II 3m čierna lesk</v>
      </c>
      <c r="G187" s="422"/>
      <c r="H187" s="422">
        <v>3000</v>
      </c>
      <c r="I187" s="1" t="str">
        <f>CONCATENATE(H187,"-",J16,", ",J19)</f>
        <v>3000-čierna lesk, Elegant II</v>
      </c>
      <c r="Z187" s="1" t="b">
        <f t="shared" si="5"/>
        <v>1</v>
      </c>
    </row>
    <row r="188" spans="1:26" ht="15" customHeight="1" x14ac:dyDescent="0.3">
      <c r="A188" s="423">
        <v>405429</v>
      </c>
      <c r="B188" s="422"/>
      <c r="C188" s="1" t="str">
        <f>CONCATENATE(H188,"-",J16,", ",J19)</f>
        <v>4050-čierna lesk, Elegant II</v>
      </c>
      <c r="D188" s="423">
        <v>405429</v>
      </c>
      <c r="E188" s="424" t="str">
        <f>+VLOOKUP(A188,cennik!A:G,2,FALSE)</f>
        <v>SEVROLL 05170 maska Elegant II 4,05m čierna lesk</v>
      </c>
      <c r="F188" s="424" t="str">
        <f>+VLOOKUP(A188,cennik!A:B,2,FALSE)</f>
        <v>SEVROLL 05170 maska Elegant II 4,05m čierna lesk</v>
      </c>
      <c r="G188" s="422"/>
      <c r="H188" s="422">
        <v>4050</v>
      </c>
      <c r="I188" s="1" t="str">
        <f>CONCATENATE(H188,"-",J16,", ",J19)</f>
        <v>4050-čierna lesk, Elegant II</v>
      </c>
      <c r="Z188" s="1" t="b">
        <f t="shared" si="5"/>
        <v>1</v>
      </c>
    </row>
    <row r="189" spans="1:26" ht="15" customHeight="1" x14ac:dyDescent="0.3">
      <c r="A189" s="423">
        <v>405430</v>
      </c>
      <c r="B189" s="422"/>
      <c r="C189" s="1" t="str">
        <f>CONCATENATE(H189,"-",J16,", ",J19)</f>
        <v>6000-čierna lesk, Elegant II</v>
      </c>
      <c r="D189" s="423">
        <v>405430</v>
      </c>
      <c r="E189" s="424" t="str">
        <f>+VLOOKUP(A189,cennik!A:G,2,FALSE)</f>
        <v>SEVROLL 05171 maska Elegant II 6m čierna lesk</v>
      </c>
      <c r="F189" s="424" t="str">
        <f>+VLOOKUP(A189,cennik!A:B,2,FALSE)</f>
        <v>SEVROLL 05171 maska Elegant II 6m čierna lesk</v>
      </c>
      <c r="G189" s="422"/>
      <c r="H189" s="422">
        <v>6000</v>
      </c>
      <c r="I189" s="1" t="str">
        <f>CONCATENATE(H189,"-",J16,", ",J19)</f>
        <v>6000-čierna lesk, Elegant II</v>
      </c>
      <c r="Z189" s="1" t="b">
        <f t="shared" si="5"/>
        <v>1</v>
      </c>
    </row>
    <row r="190" spans="1:26" ht="15" customHeight="1" x14ac:dyDescent="0.3">
      <c r="A190" s="423">
        <v>496356</v>
      </c>
      <c r="B190" s="422"/>
      <c r="C190" s="1" t="str">
        <f>CONCATENATE(H190,"-",J12,", ",J19)</f>
        <v>1700-grafit, Elegant II</v>
      </c>
      <c r="D190" s="423">
        <v>496356</v>
      </c>
      <c r="E190" s="424" t="str">
        <f>+VLOOKUP(A190,cennik!A:G,2,FALSE)</f>
        <v>SEVROLL 06048 maska Elegant II 1,7m grafit</v>
      </c>
      <c r="F190" s="424" t="str">
        <f>+VLOOKUP(A190,cennik!A:B,2,FALSE)</f>
        <v>SEVROLL 06048 maska Elegant II 1,7m grafit</v>
      </c>
      <c r="G190" s="422"/>
      <c r="H190" s="422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23">
        <v>494693</v>
      </c>
      <c r="B191" s="422"/>
      <c r="C191" s="1" t="str">
        <f>CONCATENATE(H191,"-",J12,", ",J19)</f>
        <v>2350-grafit, Elegant II</v>
      </c>
      <c r="D191" s="423">
        <v>494693</v>
      </c>
      <c r="E191" s="424" t="str">
        <f>+VLOOKUP(A191,cennik!A:G,2,FALSE)</f>
        <v>SEVROLL 06049 maska Elegant II 2,35m grafit</v>
      </c>
      <c r="F191" s="424" t="str">
        <f>+VLOOKUP(A191,cennik!A:B,2,FALSE)</f>
        <v>SEVROLL 06049 maska Elegant II 2,35m grafit</v>
      </c>
      <c r="G191" s="422"/>
      <c r="H191" s="422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23">
        <v>494740</v>
      </c>
      <c r="B192" s="422"/>
      <c r="C192" s="1" t="str">
        <f>CONCATENATE(H192,"-",J12,", ",J19)</f>
        <v>3000-grafit, Elegant II</v>
      </c>
      <c r="D192" s="423">
        <v>494740</v>
      </c>
      <c r="E192" s="424" t="str">
        <f>+VLOOKUP(A192,cennik!A:G,2,FALSE)</f>
        <v>SEVROLL 06050 maska Elegant II 3m grafit</v>
      </c>
      <c r="F192" s="424" t="str">
        <f>+VLOOKUP(A192,cennik!A:B,2,FALSE)</f>
        <v>SEVROLL 06050 maska Elegant II 3m grafit</v>
      </c>
      <c r="G192" s="422"/>
      <c r="H192" s="422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23">
        <v>494703</v>
      </c>
      <c r="B193" s="422"/>
      <c r="C193" s="1" t="str">
        <f>CONCATENATE(H193,"-",J12,", ",J19)</f>
        <v>4050-grafit, Elegant II</v>
      </c>
      <c r="D193" s="423">
        <v>494703</v>
      </c>
      <c r="E193" s="424" t="str">
        <f>+VLOOKUP(A193,cennik!A:G,2,FALSE)</f>
        <v>SEVROLL 06051 maska Elegant II 4,05m grafit</v>
      </c>
      <c r="F193" s="424" t="str">
        <f>+VLOOKUP(A193,cennik!A:B,2,FALSE)</f>
        <v>SEVROLL 06051 maska Elegant II 4,05m grafit</v>
      </c>
      <c r="G193" s="422"/>
      <c r="H193" s="422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23">
        <v>496357</v>
      </c>
      <c r="B194" s="422"/>
      <c r="C194" s="1" t="str">
        <f>CONCATENATE(H194,"-",J12,", ",J19)</f>
        <v>6000-grafit, Elegant II</v>
      </c>
      <c r="D194" s="423">
        <v>496357</v>
      </c>
      <c r="E194" s="424" t="str">
        <f>+VLOOKUP(A194,cennik!A:G,2,FALSE)</f>
        <v>SEVROLL 06052 maska Elegant II 6m grafit</v>
      </c>
      <c r="F194" s="424" t="str">
        <f>+VLOOKUP(A194,cennik!A:B,2,FALSE)</f>
        <v>SEVROLL 06052 maska Elegant II 6m grafit</v>
      </c>
      <c r="G194" s="422"/>
      <c r="H194" s="422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23">
        <v>452751</v>
      </c>
      <c r="B195" s="422"/>
      <c r="C195" s="1" t="str">
        <f>CONCATENATE(H195,"-",J17,", ",J19)</f>
        <v>1700-čierna mat, Elegant II</v>
      </c>
      <c r="D195" s="423">
        <v>452751</v>
      </c>
      <c r="E195" s="424" t="str">
        <f>+VLOOKUP(A195,cennik!A:G,2,FALSE)</f>
        <v>SEVROLL 05317 maska Elegant II 1,7m čierna mat</v>
      </c>
      <c r="F195" s="424" t="str">
        <f>+VLOOKUP(A195,cennik!A:B,2,FALSE)</f>
        <v>SEVROLL 05317 maska Elegant II 1,7m čierna mat</v>
      </c>
      <c r="G195" s="422"/>
      <c r="H195" s="422">
        <v>1700</v>
      </c>
      <c r="I195" s="1" t="str">
        <f>CONCATENATE(H195,"-",J17,", ",J19)</f>
        <v>1700-čierna mat, Elegant II</v>
      </c>
      <c r="Z195" s="1" t="b">
        <f t="shared" si="5"/>
        <v>1</v>
      </c>
    </row>
    <row r="196" spans="1:26" ht="15" customHeight="1" x14ac:dyDescent="0.3">
      <c r="A196" s="422">
        <v>409679</v>
      </c>
      <c r="B196" s="422"/>
      <c r="C196" s="1" t="str">
        <f>CONCATENATE(H196,"-",J17,", ",J19)</f>
        <v>2350-čierna mat, Elegant II</v>
      </c>
      <c r="D196" s="422">
        <v>409679</v>
      </c>
      <c r="E196" s="424" t="str">
        <f>+VLOOKUP(A196,cennik!A:G,2,FALSE)</f>
        <v>SEVROLL 05318 maska Elegant II 2,35m čierna mat</v>
      </c>
      <c r="F196" s="424" t="str">
        <f>+VLOOKUP(A196,cennik!A:B,2,FALSE)</f>
        <v>SEVROLL 05318 maska Elegant II 2,35m čierna mat</v>
      </c>
      <c r="G196" s="422"/>
      <c r="H196" s="422">
        <v>2350</v>
      </c>
      <c r="I196" s="1" t="str">
        <f>CONCATENATE(H196,"-",J17,", ",J19)</f>
        <v>2350-čierna mat, Elegant II</v>
      </c>
      <c r="Z196" s="1" t="b">
        <f t="shared" si="5"/>
        <v>1</v>
      </c>
    </row>
    <row r="197" spans="1:26" ht="15" customHeight="1" x14ac:dyDescent="0.3">
      <c r="A197" s="422">
        <v>414086</v>
      </c>
      <c r="B197" s="422"/>
      <c r="C197" s="1" t="str">
        <f>CONCATENATE(H197,"-",J17,", ",J19)</f>
        <v>3000-čierna mat, Elegant II</v>
      </c>
      <c r="D197" s="422">
        <v>414086</v>
      </c>
      <c r="E197" s="424" t="str">
        <f>+VLOOKUP(A197,cennik!A:G,2,FALSE)</f>
        <v>SEVROLL 05319 maska Elegant II 3m čierna mat</v>
      </c>
      <c r="F197" s="424" t="str">
        <f>+VLOOKUP(A197,cennik!A:B,2,FALSE)</f>
        <v>SEVROLL 05319 maska Elegant II 3m čierna mat</v>
      </c>
      <c r="G197" s="422"/>
      <c r="H197" s="422">
        <v>3000</v>
      </c>
      <c r="I197" s="1" t="str">
        <f>CONCATENATE(H197,"-",J17,", ",J19)</f>
        <v>3000-čierna mat, Elegant II</v>
      </c>
      <c r="Z197" s="1" t="b">
        <f t="shared" si="5"/>
        <v>1</v>
      </c>
    </row>
    <row r="198" spans="1:26" ht="15" customHeight="1" x14ac:dyDescent="0.3">
      <c r="A198" s="422">
        <v>409680</v>
      </c>
      <c r="B198" s="422"/>
      <c r="C198" s="1" t="str">
        <f>CONCATENATE(H198,"-",J17,", ",J19)</f>
        <v>4050-čierna mat, Elegant II</v>
      </c>
      <c r="D198" s="422">
        <v>409680</v>
      </c>
      <c r="E198" s="424" t="str">
        <f>+VLOOKUP(A198,cennik!A:G,2,FALSE)</f>
        <v>SEVROLL 05320 maska Elegant II 4,05m čierna mat</v>
      </c>
      <c r="F198" s="424" t="str">
        <f>+VLOOKUP(A198,cennik!A:B,2,FALSE)</f>
        <v>SEVROLL 05320 maska Elegant II 4,05m čierna mat</v>
      </c>
      <c r="G198" s="422"/>
      <c r="H198" s="422">
        <v>4050</v>
      </c>
      <c r="I198" s="1" t="str">
        <f>CONCATENATE(H198,"-",J17,", ",J19)</f>
        <v>4050-čierna mat, Elegant II</v>
      </c>
      <c r="Z198" s="1" t="b">
        <f t="shared" si="5"/>
        <v>1</v>
      </c>
    </row>
    <row r="199" spans="1:26" ht="15" customHeight="1" x14ac:dyDescent="0.3">
      <c r="A199" s="423">
        <v>452757</v>
      </c>
      <c r="B199" s="422"/>
      <c r="C199" s="1" t="str">
        <f>CONCATENATE(H199,"-",J17,", ",J19)</f>
        <v>6000-čierna mat, Elegant II</v>
      </c>
      <c r="D199" s="423">
        <v>452757</v>
      </c>
      <c r="E199" s="424" t="str">
        <f>+VLOOKUP(A199,cennik!A:G,2,FALSE)</f>
        <v>SEVROLL 05321 maska Elegant II 6m čierna mat</v>
      </c>
      <c r="F199" s="424" t="str">
        <f>+VLOOKUP(A199,cennik!A:B,2,FALSE)</f>
        <v>SEVROLL 05321 maska Elegant II 6m čierna mat</v>
      </c>
      <c r="G199" s="422"/>
      <c r="H199" s="422">
        <v>6000</v>
      </c>
      <c r="I199" s="1" t="str">
        <f>CONCATENATE(H199,"-",J17,", ",J19)</f>
        <v>6000-čierna mat, Elegant II</v>
      </c>
      <c r="Z199" s="1" t="b">
        <f t="shared" si="5"/>
        <v>1</v>
      </c>
    </row>
    <row r="200" spans="1:26" s="442" customFormat="1" ht="15" customHeight="1" x14ac:dyDescent="0.3">
      <c r="A200" s="441">
        <v>394831</v>
      </c>
      <c r="C200" s="1" t="str">
        <f>CONCATENATE(H200,"-",J18,", ",J19)</f>
        <v>6000-biela mat, Elegant II</v>
      </c>
      <c r="D200" s="441">
        <v>394831</v>
      </c>
      <c r="E200" s="424" t="str">
        <f>+VLOOKUP(A200,cennik!A:G,2,FALSE)</f>
        <v>SEVROLL 05166 maska Elegant II 6m biela mat</v>
      </c>
      <c r="F200" s="424" t="str">
        <f>+VLOOKUP(A200,cennik!A:B,2,FALSE)</f>
        <v>SEVROLL 05166 maska Elegant II 6m biela mat</v>
      </c>
      <c r="H200" s="442">
        <v>6000</v>
      </c>
      <c r="I200" s="1" t="str">
        <f>CONCATENATE(H200,"-",J18,", ",J19)</f>
        <v>6000-biela mat, Elegant II</v>
      </c>
      <c r="Z200" s="1" t="b">
        <f t="shared" si="5"/>
        <v>1</v>
      </c>
    </row>
    <row r="201" spans="1:26" s="442" customFormat="1" ht="15" customHeight="1" x14ac:dyDescent="0.3">
      <c r="A201" s="441">
        <v>394848</v>
      </c>
      <c r="C201" s="1" t="str">
        <f>CONCATENATE(H201,"-",J18,", ",J19)</f>
        <v>1700-biela mat, Elegant II</v>
      </c>
      <c r="D201" s="441">
        <v>394848</v>
      </c>
      <c r="E201" s="424" t="str">
        <f>+VLOOKUP(A201,cennik!A:G,2,FALSE)</f>
        <v>SEVROLL 05163 maska Elegant II 1,7m biely mat</v>
      </c>
      <c r="F201" s="424" t="str">
        <f>+VLOOKUP(A201,cennik!A:B,2,FALSE)</f>
        <v>SEVROLL 05163 maska Elegant II 1,7m biely mat</v>
      </c>
      <c r="H201" s="442">
        <v>1700</v>
      </c>
      <c r="I201" s="1" t="str">
        <f>CONCATENATE(H201,"-",J18,", ",J19)</f>
        <v>1700-biela mat, Elegant II</v>
      </c>
      <c r="Z201" s="1" t="b">
        <f t="shared" si="5"/>
        <v>1</v>
      </c>
    </row>
    <row r="202" spans="1:26" s="442" customFormat="1" ht="15" customHeight="1" x14ac:dyDescent="0.3">
      <c r="A202" s="441">
        <v>395039</v>
      </c>
      <c r="C202" s="1" t="str">
        <f>CONCATENATE(H202,"-",J18,", ",J19)</f>
        <v>2350-biela mat, Elegant II</v>
      </c>
      <c r="D202" s="441">
        <v>395039</v>
      </c>
      <c r="E202" s="424" t="str">
        <f>+VLOOKUP(A202,cennik!A:G,2,FALSE)</f>
        <v>SEVROLL 05164 maska Elegant II 2,35m biela mat</v>
      </c>
      <c r="F202" s="424" t="str">
        <f>+VLOOKUP(A202,cennik!A:B,2,FALSE)</f>
        <v>SEVROLL 05164 maska Elegant II 2,35m biela mat</v>
      </c>
      <c r="H202" s="442">
        <v>2350</v>
      </c>
      <c r="I202" s="1" t="str">
        <f>CONCATENATE(H202,"-",J18,", ",J19)</f>
        <v>2350-biela mat, Elegant II</v>
      </c>
      <c r="Z202" s="1" t="b">
        <f t="shared" si="5"/>
        <v>1</v>
      </c>
    </row>
    <row r="203" spans="1:26" s="442" customFormat="1" ht="15" customHeight="1" x14ac:dyDescent="0.3">
      <c r="A203" s="441">
        <v>395041</v>
      </c>
      <c r="C203" s="1" t="str">
        <f>CONCATENATE(H203,"-",J18,", ",J19)</f>
        <v>3000-biela mat, Elegant II</v>
      </c>
      <c r="D203" s="441">
        <v>395041</v>
      </c>
      <c r="E203" s="424" t="str">
        <f>+VLOOKUP(A203,cennik!A:G,2,FALSE)</f>
        <v>SEVROLL 04438 maska Elegant II 3m biela mat</v>
      </c>
      <c r="F203" s="424" t="str">
        <f>+VLOOKUP(A203,cennik!A:B,2,FALSE)</f>
        <v>SEVROLL 04438 maska Elegant II 3m biela mat</v>
      </c>
      <c r="H203" s="442">
        <v>3000</v>
      </c>
      <c r="I203" s="1" t="str">
        <f>CONCATENATE(H203,"-",J18,", ",J19)</f>
        <v>3000-biela mat, Elegant II</v>
      </c>
      <c r="Z203" s="1" t="b">
        <f t="shared" si="5"/>
        <v>1</v>
      </c>
    </row>
    <row r="204" spans="1:26" s="442" customFormat="1" ht="15" customHeight="1" x14ac:dyDescent="0.3">
      <c r="A204" s="441">
        <v>395042</v>
      </c>
      <c r="C204" s="1" t="str">
        <f>CONCATENATE(H204,"-",J18,", ",J19)</f>
        <v>4050-biela mat, Elegant II</v>
      </c>
      <c r="D204" s="441">
        <v>395042</v>
      </c>
      <c r="E204" s="424" t="str">
        <f>+VLOOKUP(A204,cennik!A:G,2,FALSE)</f>
        <v>SEVROLL 05165 maska Elegant II 4,05m biela mat</v>
      </c>
      <c r="F204" s="424" t="str">
        <f>+VLOOKUP(A204,cennik!A:B,2,FALSE)</f>
        <v>SEVROLL 05165 maska Elegant II 4,05m biela mat</v>
      </c>
      <c r="H204" s="442">
        <v>4050</v>
      </c>
      <c r="I204" s="1" t="str">
        <f>CONCATENATE(H204,"-",J18,", ",J19)</f>
        <v>4050-biela mat, Elegant II</v>
      </c>
      <c r="Z204" s="1" t="b">
        <f t="shared" si="5"/>
        <v>1</v>
      </c>
    </row>
    <row r="205" spans="1:26" s="442" customFormat="1" ht="15" customHeight="1" x14ac:dyDescent="0.3">
      <c r="A205" s="196">
        <v>526524</v>
      </c>
      <c r="C205" s="1" t="str">
        <f>CONCATENATE(H205,"-",J22,", ",J19)</f>
        <v>1700-čierna štrukturálna, Elegant II</v>
      </c>
      <c r="D205" s="196">
        <v>526524</v>
      </c>
      <c r="E205" s="424" t="str">
        <f>+VLOOKUP(A205,cennik!A:G,2,FALSE)</f>
        <v>SEVROLL 06301 maska Elegant II 1,7m čierna štrukturálna</v>
      </c>
      <c r="F205" s="424" t="str">
        <f>+VLOOKUP(A205,cennik!A:B,2,FALSE)</f>
        <v>SEVROLL 06301 maska Elegant II 1,7m čierna štrukturálna</v>
      </c>
      <c r="H205" s="442">
        <v>1700</v>
      </c>
      <c r="I205" s="1" t="str">
        <f>CONCATENATE(H205,"-",J22,", ",J19)</f>
        <v>1700-čierna štrukturálna, Elegant II</v>
      </c>
      <c r="Z205" s="1"/>
    </row>
    <row r="206" spans="1:26" s="442" customFormat="1" ht="15" customHeight="1" x14ac:dyDescent="0.3">
      <c r="A206" s="196">
        <v>526525</v>
      </c>
      <c r="C206" s="1" t="str">
        <f>CONCATENATE(H206,"-",J22,", ",J19)</f>
        <v>2350-čierna štrukturálna, Elegant II</v>
      </c>
      <c r="D206" s="196">
        <v>526525</v>
      </c>
      <c r="E206" s="424" t="str">
        <f>+VLOOKUP(A206,cennik!A:G,2,FALSE)</f>
        <v>SEVROLL 06302 maska Elegant II 2,35m čierna štrukturálna</v>
      </c>
      <c r="F206" s="424" t="str">
        <f>+VLOOKUP(A206,cennik!A:B,2,FALSE)</f>
        <v>SEVROLL 06302 maska Elegant II 2,35m čierna štrukturálna</v>
      </c>
      <c r="H206" s="442">
        <v>2350</v>
      </c>
      <c r="I206" s="1" t="str">
        <f>CONCATENATE(H206,"-",J22,", ",J19)</f>
        <v>2350-čierna štrukturálna, Elegant II</v>
      </c>
      <c r="Z206" s="1"/>
    </row>
    <row r="207" spans="1:26" s="442" customFormat="1" ht="15" customHeight="1" x14ac:dyDescent="0.3">
      <c r="A207" s="196">
        <v>526526</v>
      </c>
      <c r="C207" s="1" t="str">
        <f>CONCATENATE(H207,"-",J22,", ",J19)</f>
        <v>3000-čierna štrukturálna, Elegant II</v>
      </c>
      <c r="D207" s="196">
        <v>526526</v>
      </c>
      <c r="E207" s="424" t="str">
        <f>+VLOOKUP(A207,cennik!A:G,2,FALSE)</f>
        <v>SEVROLL 06303 maska Elegant II 3m čierna štrukturálna</v>
      </c>
      <c r="F207" s="424" t="str">
        <f>+VLOOKUP(A207,cennik!A:B,2,FALSE)</f>
        <v>SEVROLL 06303 maska Elegant II 3m čierna štrukturálna</v>
      </c>
      <c r="H207" s="442">
        <v>3000</v>
      </c>
      <c r="I207" s="1" t="str">
        <f>CONCATENATE(H207,"-",J22,", ",J19)</f>
        <v>3000-čierna štrukturálna, Elegant II</v>
      </c>
      <c r="Z207" s="1"/>
    </row>
    <row r="208" spans="1:26" s="442" customFormat="1" ht="15" customHeight="1" x14ac:dyDescent="0.3">
      <c r="A208" s="196">
        <v>526527</v>
      </c>
      <c r="C208" s="1" t="str">
        <f>CONCATENATE(H208,"-",J22,", ",J19)</f>
        <v>4050-čierna štrukturálna, Elegant II</v>
      </c>
      <c r="D208" s="196">
        <v>526527</v>
      </c>
      <c r="E208" s="424" t="str">
        <f>+VLOOKUP(A208,cennik!A:G,2,FALSE)</f>
        <v>SEVROLL 06304 maska Elegant II 4,05m čierna štrukturálna</v>
      </c>
      <c r="F208" s="424" t="str">
        <f>+VLOOKUP(A208,cennik!A:B,2,FALSE)</f>
        <v>SEVROLL 06304 maska Elegant II 4,05m čierna štrukturálna</v>
      </c>
      <c r="H208" s="442">
        <v>4050</v>
      </c>
      <c r="I208" s="1" t="str">
        <f>CONCATENATE(H208,"-",J22,", ",J19)</f>
        <v>4050-čierna štrukturálna, Elegant II</v>
      </c>
      <c r="Z208" s="1"/>
    </row>
    <row r="209" spans="1:26" s="442" customFormat="1" ht="15" customHeight="1" x14ac:dyDescent="0.3">
      <c r="A209" s="196">
        <v>526528</v>
      </c>
      <c r="C209" s="1" t="str">
        <f>CONCATENATE(H209,"-",J22,", ",J19)</f>
        <v>6000-čierna štrukturálna, Elegant II</v>
      </c>
      <c r="D209" s="196">
        <v>526528</v>
      </c>
      <c r="E209" s="424" t="str">
        <f>+VLOOKUP(A209,cennik!A:G,2,FALSE)</f>
        <v>SEVROLL 06157 maska Elegant II 6m čierna štrukturálna</v>
      </c>
      <c r="F209" s="424" t="str">
        <f>+VLOOKUP(A209,cennik!A:B,2,FALSE)</f>
        <v>SEVROLL 06157 maska Elegant II 6m čierna štrukturálna</v>
      </c>
      <c r="H209" s="442">
        <v>6000</v>
      </c>
      <c r="I209" s="1" t="str">
        <f>CONCATENATE(H209,"-",J22,", ",J19)</f>
        <v>6000-čierna štrukturálna,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 xml:space="preserve">1700-strieborná </v>
      </c>
      <c r="D211" s="49">
        <v>89106</v>
      </c>
      <c r="E211" s="48" t="str">
        <f>+VLOOKUP(A211,cennik!A:G,2,FALSE)</f>
        <v>SEVROLL 01023 Gemini horné vedenie 1,7m strieborná</v>
      </c>
      <c r="F211" s="48" t="str">
        <f>+VLOOKUP(A211,cennik!A:B,2,FALSE)</f>
        <v>SEVROLL 01023 Gemini horné vedenie 1,7m strieborná</v>
      </c>
      <c r="G211" s="1" t="e">
        <f>+VLOOKUP(A211,#REF!,4,FALSE)</f>
        <v>#REF!</v>
      </c>
      <c r="H211" s="1">
        <v>1700</v>
      </c>
      <c r="I211" s="1" t="str">
        <f>CONCATENATE(H211,"-",J4)</f>
        <v xml:space="preserve">1700-strieborná 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 xml:space="preserve">2350-strieborná </v>
      </c>
      <c r="D212" s="49">
        <v>89109</v>
      </c>
      <c r="E212" s="48" t="str">
        <f>+VLOOKUP(A212,cennik!A:G,2,FALSE)</f>
        <v>SEVROLL 01025 Gemini horné vedenie 2,35m strieborná</v>
      </c>
      <c r="F212" s="48" t="str">
        <f>+VLOOKUP(A212,cennik!A:B,2,FALSE)</f>
        <v>SEVROLL 01025 Gemini horné vedenie 2,35m strieborná</v>
      </c>
      <c r="G212" s="1" t="e">
        <f>+VLOOKUP(A212,#REF!,4,FALSE)</f>
        <v>#REF!</v>
      </c>
      <c r="H212" s="1">
        <v>2350</v>
      </c>
      <c r="I212" s="1" t="str">
        <f>CONCATENATE(H212,"-",J4)</f>
        <v xml:space="preserve">2350-strieborná 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 xml:space="preserve">3000-strieborná </v>
      </c>
      <c r="D213" s="49">
        <v>89112</v>
      </c>
      <c r="E213" s="48" t="str">
        <f>+VLOOKUP(A213,cennik!A:G,2,FALSE)</f>
        <v>SEVROLL 01462 Gemini horné vedenie 3m strieborná</v>
      </c>
      <c r="F213" s="48" t="str">
        <f>+VLOOKUP(A213,cennik!A:B,2,FALSE)</f>
        <v>SEVROLL 01462 Gemini horné vedenie 3m strieborná</v>
      </c>
      <c r="G213" s="1" t="e">
        <f>+VLOOKUP(A213,#REF!,4,FALSE)</f>
        <v>#REF!</v>
      </c>
      <c r="H213" s="1">
        <v>3000</v>
      </c>
      <c r="I213" s="1" t="str">
        <f>CONCATENATE(H213,"-",J4)</f>
        <v xml:space="preserve">3000-strieborná 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 xml:space="preserve">4050-strieborná </v>
      </c>
      <c r="D214" s="49">
        <v>89115</v>
      </c>
      <c r="E214" s="48" t="str">
        <f>+VLOOKUP(A214,cennik!A:G,2,FALSE)</f>
        <v>SEVROLL 01469 Gemini horné vedenie 4,05m strieborná</v>
      </c>
      <c r="F214" s="48" t="str">
        <f>+VLOOKUP(A214,cennik!A:B,2,FALSE)</f>
        <v>SEVROLL 01469 Gemini horné vedenie 4,05m strieborná</v>
      </c>
      <c r="G214" s="1" t="e">
        <f>+VLOOKUP(A214,#REF!,4,FALSE)</f>
        <v>#REF!</v>
      </c>
      <c r="H214" s="1">
        <v>4050</v>
      </c>
      <c r="I214" s="1" t="str">
        <f>CONCATENATE(H214,"-",J4)</f>
        <v xml:space="preserve">4050-strieborná 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 xml:space="preserve">6000-strieborná </v>
      </c>
      <c r="D215" s="49">
        <v>134933</v>
      </c>
      <c r="E215" s="48" t="str">
        <f>+VLOOKUP(A215,cennik!A:G,2,FALSE)</f>
        <v>SEVROLL 01391 Gemini horné vedenie 6m strieborná</v>
      </c>
      <c r="F215" s="48" t="str">
        <f>+VLOOKUP(A215,cennik!A:B,2,FALSE)</f>
        <v>SEVROLL 01391 Gemini horné vedenie 6m strieborná</v>
      </c>
      <c r="H215" s="1">
        <v>6000</v>
      </c>
      <c r="I215" s="1" t="str">
        <f>CONCATENATE(H215,"-",J4)</f>
        <v xml:space="preserve">6000-strieborná </v>
      </c>
      <c r="Z215" s="1" t="b">
        <f t="shared" si="6"/>
        <v>1</v>
      </c>
    </row>
    <row r="216" spans="1:26" ht="15" customHeight="1" x14ac:dyDescent="0.3">
      <c r="A216" s="49">
        <v>89104</v>
      </c>
      <c r="B216" s="48"/>
      <c r="C216" s="1" t="str">
        <f>CONCATENATE(H216,"-",J5)</f>
        <v>1700-zlatá</v>
      </c>
      <c r="D216" s="49">
        <v>89104</v>
      </c>
      <c r="E216" s="48" t="str">
        <f>+VLOOKUP(A216,cennik!A:G,2,FALSE)</f>
        <v>SEVROLL 01030 Gemini horné vedenie 1,7m zlatá</v>
      </c>
      <c r="F216" s="48" t="str">
        <f>+VLOOKUP(A216,cennik!A:B,2,FALSE)</f>
        <v>SEVROLL 01030 Gemini horné vedenie 1,7m zlatá</v>
      </c>
      <c r="G216" s="1" t="e">
        <f>+VLOOKUP(A216,#REF!,4,FALSE)</f>
        <v>#REF!</v>
      </c>
      <c r="H216" s="1">
        <v>1700</v>
      </c>
      <c r="I216" s="1" t="str">
        <f>CONCATENATE(H216,"-",J5)</f>
        <v>1700-zlatá</v>
      </c>
      <c r="Z216" s="1" t="b">
        <f t="shared" si="6"/>
        <v>1</v>
      </c>
    </row>
    <row r="217" spans="1:26" ht="15" customHeight="1" x14ac:dyDescent="0.3">
      <c r="A217" s="49">
        <v>89107</v>
      </c>
      <c r="B217" s="48"/>
      <c r="C217" s="1" t="str">
        <f>CONCATENATE(H217,"-",J5)</f>
        <v>2350-zlatá</v>
      </c>
      <c r="D217" s="49">
        <v>89107</v>
      </c>
      <c r="E217" s="48" t="str">
        <f>+VLOOKUP(A217,cennik!A:G,2,FALSE)</f>
        <v>SEVROLL 01032 Gemini horné vedenie 2,35m zlatá</v>
      </c>
      <c r="F217" s="48" t="str">
        <f>+VLOOKUP(A217,cennik!A:B,2,FALSE)</f>
        <v>SEVROLL 01032 Gemini horné vedenie 2,35m zlatá</v>
      </c>
      <c r="G217" s="1" t="e">
        <f>+VLOOKUP(A217,#REF!,4,FALSE)</f>
        <v>#REF!</v>
      </c>
      <c r="H217" s="1">
        <v>2350</v>
      </c>
      <c r="I217" s="1" t="str">
        <f>CONCATENATE(H217,"-",J5)</f>
        <v>2350-zlatá</v>
      </c>
      <c r="Z217" s="1" t="b">
        <f t="shared" si="6"/>
        <v>1</v>
      </c>
    </row>
    <row r="218" spans="1:26" ht="15" customHeight="1" x14ac:dyDescent="0.3">
      <c r="A218" s="49">
        <v>89110</v>
      </c>
      <c r="B218" s="48"/>
      <c r="C218" s="1" t="str">
        <f>CONCATENATE(H218,"-",J5)</f>
        <v>3000-zlatá</v>
      </c>
      <c r="D218" s="49">
        <v>89110</v>
      </c>
      <c r="E218" s="48" t="str">
        <f>+VLOOKUP(A218,cennik!A:G,2,FALSE)</f>
        <v>SEVROLL 01011 Gemini horné vedenie 3m zlatá</v>
      </c>
      <c r="F218" s="48" t="str">
        <f>+VLOOKUP(A218,cennik!A:B,2,FALSE)</f>
        <v>SEVROLL 01011 Gemini horné vedenie 3m zlatá</v>
      </c>
      <c r="G218" s="1" t="e">
        <f>+VLOOKUP(A218,#REF!,4,FALSE)</f>
        <v>#REF!</v>
      </c>
      <c r="H218" s="1">
        <v>3000</v>
      </c>
      <c r="I218" s="1" t="str">
        <f>CONCATENATE(H218,"-",J5)</f>
        <v>3000-zlatá</v>
      </c>
      <c r="Z218" s="1" t="b">
        <f t="shared" si="6"/>
        <v>1</v>
      </c>
    </row>
    <row r="219" spans="1:26" ht="15" customHeight="1" x14ac:dyDescent="0.3">
      <c r="A219" s="49">
        <v>89113</v>
      </c>
      <c r="B219" s="48"/>
      <c r="C219" s="1" t="str">
        <f>CONCATENATE(H219,"-",J5)</f>
        <v>4050-zlatá</v>
      </c>
      <c r="D219" s="49">
        <v>89113</v>
      </c>
      <c r="E219" s="48" t="str">
        <f>+VLOOKUP(A219,cennik!A:G,2,FALSE)</f>
        <v>SEVROLL 01462  Gemini horné vedenie 4,05m zlatá</v>
      </c>
      <c r="F219" s="48" t="str">
        <f>+VLOOKUP(A219,cennik!A:B,2,FALSE)</f>
        <v>SEVROLL 01462  Gemini horné vedenie 4,05m zlatá</v>
      </c>
      <c r="G219" s="1" t="e">
        <f>+VLOOKUP(A219,#REF!,4,FALSE)</f>
        <v>#REF!</v>
      </c>
      <c r="H219" s="1">
        <v>4050</v>
      </c>
      <c r="I219" s="1" t="str">
        <f>CONCATENATE(H219,"-",J5)</f>
        <v>4050-zlatá</v>
      </c>
      <c r="Z219" s="1" t="b">
        <f t="shared" si="6"/>
        <v>1</v>
      </c>
    </row>
    <row r="220" spans="1:26" ht="15" customHeight="1" x14ac:dyDescent="0.3">
      <c r="A220" s="49">
        <v>134935</v>
      </c>
      <c r="B220" s="48"/>
      <c r="C220" s="1" t="str">
        <f>CONCATENATE(H220,"-",J5)</f>
        <v>6000-zlatá</v>
      </c>
      <c r="D220" s="49">
        <v>134935</v>
      </c>
      <c r="E220" s="48" t="str">
        <f>+VLOOKUP(A220,cennik!A:G,2,FALSE)</f>
        <v>SEVROLL 01392 Gemini horné vedenie 6m zlatá</v>
      </c>
      <c r="F220" s="48" t="str">
        <f>+VLOOKUP(A220,cennik!A:B,2,FALSE)</f>
        <v>SEVROLL 01392 Gemini horné vedenie 6m zlatá</v>
      </c>
      <c r="H220" s="1">
        <v>6000</v>
      </c>
      <c r="I220" s="1" t="str">
        <f>CONCATENATE(H220,"-",J5)</f>
        <v>6000-zlatá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2350-čierna mat</v>
      </c>
      <c r="D221" s="49">
        <v>409670</v>
      </c>
      <c r="E221" s="48" t="str">
        <f>+VLOOKUP(A221,cennik!A:G,2,FALSE)</f>
        <v>SEVROLL 05314 Gemini horné vedenie 2,35m čierna mat</v>
      </c>
      <c r="F221" s="48" t="str">
        <f>+VLOOKUP(A221,cennik!A:B,2,FALSE)</f>
        <v>SEVROLL 05314 Gemini horné vedenie 2,35m čierna mat</v>
      </c>
      <c r="H221" s="1">
        <v>2350</v>
      </c>
      <c r="I221" s="1" t="str">
        <f>CONCATENATE(H221,"-",J17)</f>
        <v>2350-čierna mat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4050-čierna mat</v>
      </c>
      <c r="D222" s="49">
        <v>409674</v>
      </c>
      <c r="E222" s="48" t="str">
        <f>+VLOOKUP(A222,cennik!A:G,2,FALSE)</f>
        <v>SEVROLL 04835 Gemini horné vedenie  4,05m čierna mat</v>
      </c>
      <c r="F222" s="48" t="str">
        <f>+VLOOKUP(A222,cennik!A:B,2,FALSE)</f>
        <v>SEVROLL 04835 Gemini horné vedenie  4,05m čierna mat</v>
      </c>
      <c r="G222" s="48" t="e">
        <f>+VLOOKUP(C222,cennik!A:G,2,FALSE)</f>
        <v>#N/A</v>
      </c>
      <c r="H222" s="1">
        <v>4050</v>
      </c>
      <c r="I222" s="1" t="str">
        <f>CONCATENATE(H222,"-",J17)</f>
        <v>4050-čierna mat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3000-čierna mat</v>
      </c>
      <c r="D223" s="49">
        <v>412229</v>
      </c>
      <c r="E223" s="48" t="str">
        <f>+VLOOKUP(A223,cennik!A:G,2,FALSE)</f>
        <v>SEVROLL 05315 Gemini horné vedenie 3m čierna mat</v>
      </c>
      <c r="F223" s="48" t="str">
        <f>+VLOOKUP(A223,cennik!A:B,2,FALSE)</f>
        <v>SEVROLL 05315 Gemini horné vedenie 3m čierna mat</v>
      </c>
      <c r="H223" s="1">
        <v>3000</v>
      </c>
      <c r="I223" s="1" t="str">
        <f>CONCATENATE(H223,"-",J17)</f>
        <v>3000-čierna mat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1700-čierna mat</v>
      </c>
      <c r="D224" s="49">
        <v>422008</v>
      </c>
      <c r="E224" s="48" t="str">
        <f>+VLOOKUP(A224,cennik!A:G,2,FALSE)</f>
        <v>SEVROLL 05313 Gemini horné vedenie 1,7m čierna mat</v>
      </c>
      <c r="F224" s="48" t="str">
        <f>+VLOOKUP(A224,cennik!A:B,2,FALSE)</f>
        <v>SEVROLL 05313 Gemini horné vedenie 1,7m čierna mat</v>
      </c>
      <c r="H224" s="1">
        <v>1700</v>
      </c>
      <c r="I224" s="1" t="str">
        <f>CONCATENATE(H224,"-",J17)</f>
        <v>1700-čierna mat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6000-čierna mat</v>
      </c>
      <c r="D225" s="49">
        <v>452736</v>
      </c>
      <c r="E225" s="48" t="str">
        <f>+VLOOKUP(A225,cennik!A:G,2,FALSE)</f>
        <v>SEVROLL 05316 Gemini horné vedenie 6m čierna mat</v>
      </c>
      <c r="F225" s="48" t="str">
        <f>+VLOOKUP(A225,cennik!A:B,2,FALSE)</f>
        <v>SEVROLL 05316 Gemini horné vedenie 6m čierna mat</v>
      </c>
      <c r="H225" s="1">
        <v>6000</v>
      </c>
      <c r="I225" s="1" t="str">
        <f>CONCATENATE(H225,"-",J17)</f>
        <v>6000-čierna mat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1700-oliva</v>
      </c>
      <c r="D226" s="49">
        <v>89105</v>
      </c>
      <c r="E226" s="48" t="str">
        <f>+VLOOKUP(A226,cennik!A:G,2,FALSE)</f>
        <v>SEVROLL 01008 Gemini horné vedenie 1,7m oliva</v>
      </c>
      <c r="F226" s="48" t="str">
        <f>+VLOOKUP(A226,cennik!A:B,2,FALSE)</f>
        <v>SEVROLL 01008 Gemini horné vedenie 1,7m oliva</v>
      </c>
      <c r="G226" s="1" t="e">
        <f>+VLOOKUP(A226,#REF!,4,FALSE)</f>
        <v>#REF!</v>
      </c>
      <c r="H226" s="1">
        <v>1700</v>
      </c>
      <c r="I226" s="1" t="str">
        <f>CONCATENATE(H226,"-",J6)</f>
        <v>1700-oliva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2350-oliva</v>
      </c>
      <c r="D227" s="49">
        <v>89108</v>
      </c>
      <c r="E227" s="48" t="str">
        <f>+VLOOKUP(A227,cennik!A:G,2,FALSE)</f>
        <v>SEVROLL 01010 Gemini horné vedenie 2,35m oliva</v>
      </c>
      <c r="F227" s="48" t="str">
        <f>+VLOOKUP(A227,cennik!A:B,2,FALSE)</f>
        <v>SEVROLL 01010 Gemini horné vedenie 2,35m oliva</v>
      </c>
      <c r="G227" s="1" t="e">
        <f>+VLOOKUP(A227,#REF!,4,FALSE)</f>
        <v>#REF!</v>
      </c>
      <c r="H227" s="1">
        <v>2350</v>
      </c>
      <c r="I227" s="1" t="str">
        <f>CONCATENATE(H227,"-",J6)</f>
        <v>2350-oliva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3000-oliva</v>
      </c>
      <c r="D228" s="49">
        <v>89111</v>
      </c>
      <c r="E228" s="48" t="str">
        <f>+VLOOKUP(A228,cennik!A:G,2,FALSE)</f>
        <v>SEVROLL 01011 Gemini horné vedenie 3m oliva</v>
      </c>
      <c r="F228" s="48" t="str">
        <f>+VLOOKUP(A228,cennik!A:B,2,FALSE)</f>
        <v>SEVROLL 01011 Gemini horné vedenie 3m oliva</v>
      </c>
      <c r="G228" s="1" t="e">
        <f>+VLOOKUP(A228,#REF!,4,FALSE)</f>
        <v>#REF!</v>
      </c>
      <c r="H228" s="1">
        <v>3000</v>
      </c>
      <c r="I228" s="1" t="str">
        <f>CONCATENATE(H228,"-",J6)</f>
        <v>3000-oliva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4050-oliva</v>
      </c>
      <c r="D229" s="49">
        <v>89114</v>
      </c>
      <c r="E229" s="48" t="str">
        <f>+VLOOKUP(A229,cennik!A:G,2,FALSE)</f>
        <v>SEVROLL 01439 Gemini horné vedenie 4,05m oliva</v>
      </c>
      <c r="F229" s="48" t="str">
        <f>+VLOOKUP(A229,cennik!A:B,2,FALSE)</f>
        <v>SEVROLL 01439 Gemini horné vedenie 4,05m oliva</v>
      </c>
      <c r="G229" s="1" t="e">
        <f>+VLOOKUP(A229,#REF!,4,FALSE)</f>
        <v>#REF!</v>
      </c>
      <c r="H229" s="1">
        <v>4050</v>
      </c>
      <c r="I229" s="1" t="str">
        <f>CONCATENATE(H229,"-",J6)</f>
        <v>4050-oliva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6000-oliva</v>
      </c>
      <c r="D230" s="49">
        <v>134934</v>
      </c>
      <c r="E230" s="48" t="str">
        <f>+VLOOKUP(A230,cennik!A:G,2,FALSE)</f>
        <v>SEVROLL Gemini horné vedenie 6m oliva</v>
      </c>
      <c r="F230" s="48" t="str">
        <f>+VLOOKUP(A230,cennik!A:B,2,FALSE)</f>
        <v>SEVROLL Gemini horné vedenie 6m oliva</v>
      </c>
      <c r="H230" s="1">
        <v>6000</v>
      </c>
      <c r="I230" s="1" t="str">
        <f>CONCATENATE(H230,"-",J6)</f>
        <v>6000-oliva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1700-čierna štrukturálna</v>
      </c>
      <c r="D231" s="196">
        <v>526516</v>
      </c>
      <c r="E231" s="48" t="str">
        <f>+VLOOKUP(A231,cennik!A:G,2,FALSE)</f>
        <v>SEVROLL 06285 Gemini horné  vedenie 1,7m čierna štrukturálna</v>
      </c>
      <c r="F231" s="48" t="str">
        <f>+VLOOKUP(A231,cennik!A:B,2,FALSE)</f>
        <v>SEVROLL 06285 Gemini horné  vedenie 1,7m čierna štrukturálna</v>
      </c>
      <c r="H231" s="1">
        <v>1700</v>
      </c>
      <c r="I231" s="1" t="str">
        <f>CONCATENATE(H231,"-",J22)</f>
        <v>1700-čierna štrukturálna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2350-čierna štrukturálna</v>
      </c>
      <c r="D232" s="196">
        <v>526519</v>
      </c>
      <c r="E232" s="48" t="str">
        <f>+VLOOKUP(A232,cennik!A:G,2,FALSE)</f>
        <v>SEVROLL 06286 Gemini horné vedenie 2,35m čierna štrukturálna</v>
      </c>
      <c r="F232" s="48" t="str">
        <f>+VLOOKUP(A232,cennik!A:B,2,FALSE)</f>
        <v>SEVROLL 06286 Gemini horné vedenie 2,35m čierna štrukturálna</v>
      </c>
      <c r="H232" s="1">
        <v>2350</v>
      </c>
      <c r="I232" s="1" t="str">
        <f>CONCATENATE(H232,"-",J22)</f>
        <v>2350-čierna štrukturálna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3000-čierna štrukturálna</v>
      </c>
      <c r="D233" s="196">
        <v>526520</v>
      </c>
      <c r="E233" s="48" t="str">
        <f>+VLOOKUP(A233,cennik!A:G,2,FALSE)</f>
        <v>SEVROLL 06287 Gemini horné  vedenie 3m čierna štrukturálna</v>
      </c>
      <c r="F233" s="48" t="str">
        <f>+VLOOKUP(A233,cennik!A:B,2,FALSE)</f>
        <v>SEVROLL 06287 Gemini horné  vedenie 3m čierna štrukturálna</v>
      </c>
      <c r="H233" s="1">
        <v>3000</v>
      </c>
      <c r="I233" s="1" t="str">
        <f>CONCATENATE(H233,"-",J22)</f>
        <v>3000-čierna štrukturálna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4050-čierna štrukturálna</v>
      </c>
      <c r="D234" s="196">
        <v>526521</v>
      </c>
      <c r="E234" s="48" t="str">
        <f>+VLOOKUP(A234,cennik!A:G,2,FALSE)</f>
        <v>SEVROLL 06288 Gemini horné vedenie  4,05m čierna štrukturálna</v>
      </c>
      <c r="F234" s="48" t="str">
        <f>+VLOOKUP(A234,cennik!A:B,2,FALSE)</f>
        <v>SEVROLL 06288 Gemini horné vedenie  4,05m čierna štrukturálna</v>
      </c>
      <c r="H234" s="1">
        <v>4050</v>
      </c>
      <c r="I234" s="1" t="str">
        <f>CONCATENATE(H234,"-",J22)</f>
        <v>4050-čierna štrukturálna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6000-čierna štrukturálna</v>
      </c>
      <c r="D235" s="196">
        <v>526522</v>
      </c>
      <c r="E235" s="48" t="str">
        <f>+VLOOKUP(A235,cennik!A:G,2,FALSE)</f>
        <v>SEVROLL 06154 Gemini horné vedenie 6m čierna štrukturálna</v>
      </c>
      <c r="F235" s="48" t="str">
        <f>+VLOOKUP(A235,cennik!A:B,2,FALSE)</f>
        <v>SEVROLL 06154 Gemini horné vedenie 6m čierna štrukturálna</v>
      </c>
      <c r="H235" s="1">
        <v>6000</v>
      </c>
      <c r="I235" s="1" t="str">
        <f>CONCATENATE(H235,"-",J22)</f>
        <v>6000-čierna štrukturálna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1700-oliva kartáčovaná</v>
      </c>
      <c r="D236" s="49">
        <v>119459</v>
      </c>
      <c r="E236" s="48" t="str">
        <f>+VLOOKUP(A236,cennik!A:G,2,FALSE)</f>
        <v>SEVROLL Gemini HORNÉ VEDENIE 1,70M OLIVA</v>
      </c>
      <c r="F236" s="48" t="str">
        <f>+VLOOKUP(A236,cennik!A:B,2,FALSE)</f>
        <v>SEVROLL Gemini HORNÉ VEDENIE 1,70M OLIVA</v>
      </c>
      <c r="H236" s="1">
        <v>1700</v>
      </c>
      <c r="I236" s="1" t="str">
        <f>CONCATENATE(H236,"-",J7)</f>
        <v>1700-oliva kartáčovaná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2350-oliva kartáčovaná</v>
      </c>
      <c r="D237" s="49">
        <v>120864</v>
      </c>
      <c r="E237" s="48" t="str">
        <f>+VLOOKUP(A237,cennik!A:G,2,FALSE)</f>
        <v>SEVROLL Gemini horné vedenie 2,35M OLIVA</v>
      </c>
      <c r="F237" s="48" t="str">
        <f>+VLOOKUP(A237,cennik!A:B,2,FALSE)</f>
        <v>SEVROLL Gemini horné vedenie 2,35M OLIVA</v>
      </c>
      <c r="H237" s="1">
        <v>2350</v>
      </c>
      <c r="I237" s="1" t="str">
        <f>CONCATENATE(H237,"-",J7)</f>
        <v>2350-oliva kartáčovaná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3000-oliva kartáčovaná</v>
      </c>
      <c r="D238" s="49">
        <v>120865</v>
      </c>
      <c r="E238" s="48" t="str">
        <f>+VLOOKUP(A238,cennik!A:G,2,FALSE)</f>
        <v>SEVROLL Gemini horné vedenie 3M OLIVA KA</v>
      </c>
      <c r="F238" s="48" t="str">
        <f>+VLOOKUP(A238,cennik!A:B,2,FALSE)</f>
        <v>SEVROLL Gemini horné vedenie 3M OLIVA KA</v>
      </c>
      <c r="H238" s="1">
        <v>3000</v>
      </c>
      <c r="I238" s="1" t="str">
        <f>CONCATENATE(H238,"-",J7)</f>
        <v>3000-oliva kartáčovaná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4050-oliva kartáčovaná</v>
      </c>
      <c r="D239" s="49">
        <v>120867</v>
      </c>
      <c r="E239" s="48" t="str">
        <f>+VLOOKUP(A239,cennik!A:G,2,FALSE)</f>
        <v>SEVROLL Gemini horné vedenie 4,05M oliva kartáčovaná</v>
      </c>
      <c r="F239" s="48" t="str">
        <f>+VLOOKUP(A239,cennik!A:B,2,FALSE)</f>
        <v>SEVROLL Gemini horné vedenie 4,05M oliva kartáčovaná</v>
      </c>
      <c r="H239" s="1">
        <v>4050</v>
      </c>
      <c r="I239" s="1" t="str">
        <f>CONCATENATE(H239,"-",J7)</f>
        <v>4050-oliva kartáčovaná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6000-oliva kartáčovaná</v>
      </c>
      <c r="D240" s="49">
        <v>225370</v>
      </c>
      <c r="E240" s="48" t="str">
        <f>+VLOOKUP(A240,cennik!A:G,2,FALSE)</f>
        <v>SEVROLL Gemini horné vedenie 6m oliva kartáč</v>
      </c>
      <c r="F240" s="48" t="str">
        <f>+VLOOKUP(A240,cennik!A:B,2,FALSE)</f>
        <v>SEVROLL Gemini horné vedenie 6m oliva kartáč</v>
      </c>
      <c r="H240" s="1">
        <v>6000</v>
      </c>
      <c r="I240" s="1" t="str">
        <f>CONCATENATE(H240,"-",J7)</f>
        <v>6000-oliva kartáčovaná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1700-kart. tm. oliva</v>
      </c>
      <c r="D241" s="49">
        <v>205162</v>
      </c>
      <c r="E241" s="48" t="str">
        <f>+VLOOKUP(A241,cennik!A:G,2,FALSE)</f>
        <v>SEVROLL 03119 Gemini horné vedenie 1,7m oliva tmavá kartáčovaná</v>
      </c>
      <c r="F241" s="48" t="str">
        <f>+VLOOKUP(A241,cennik!A:B,2,FALSE)</f>
        <v>SEVROLL 03119 Gemini horné vedenie 1,7m oliva tmavá kartáčovaná</v>
      </c>
      <c r="H241" s="1">
        <v>1700</v>
      </c>
      <c r="I241" s="1" t="str">
        <f>CONCATENATE(H241,"-",J8)</f>
        <v>1700-kart. tm. oliva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2350-kart. tm. oliva</v>
      </c>
      <c r="D242" s="49">
        <v>205164</v>
      </c>
      <c r="E242" s="48" t="str">
        <f>+VLOOKUP(A242,cennik!A:G,2,FALSE)</f>
        <v>SEVROLL 03120 Gemini horné vedenie 2,35m oliva tmavá kartáčovaná</v>
      </c>
      <c r="F242" s="48" t="str">
        <f>+VLOOKUP(A242,cennik!A:B,2,FALSE)</f>
        <v>SEVROLL 03120 Gemini horné vedenie 2,35m oliva tmavá kartáčovaná</v>
      </c>
      <c r="H242" s="1">
        <v>2350</v>
      </c>
      <c r="I242" s="1" t="str">
        <f>CONCATENATE(H242,"-",J8)</f>
        <v>2350-kart. tm. oliva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3000-kart. tm. oliva</v>
      </c>
      <c r="D243" s="49">
        <v>205166</v>
      </c>
      <c r="E243" s="48" t="str">
        <f>+VLOOKUP(A243,cennik!A:G,2,FALSE)</f>
        <v>SEVROLL 03121 Gemini horné vedenie 3m oliva tmavá kartáčovaná</v>
      </c>
      <c r="F243" s="48" t="str">
        <f>+VLOOKUP(A243,cennik!A:B,2,FALSE)</f>
        <v>SEVROLL 03121 Gemini horné vedenie 3m oliva tmavá kartáčovaná</v>
      </c>
      <c r="H243" s="1">
        <v>3000</v>
      </c>
      <c r="I243" s="1" t="str">
        <f>CONCATENATE(H243,"-",J8)</f>
        <v>3000-kart. tm. oliva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4050-kart. tm. oliva</v>
      </c>
      <c r="D244" s="49">
        <v>205168</v>
      </c>
      <c r="E244" s="48" t="str">
        <f>+VLOOKUP(A244,cennik!A:G,2,FALSE)</f>
        <v>SEVROLL 03122 Gemini horné vedenie 4,05m oliva tmavá kartáčovaná</v>
      </c>
      <c r="F244" s="48" t="str">
        <f>+VLOOKUP(A244,cennik!A:B,2,FALSE)</f>
        <v>SEVROLL 03122 Gemini horné vedenie 4,05m oliva tmavá kartáčovaná</v>
      </c>
      <c r="H244" s="1">
        <v>4050</v>
      </c>
      <c r="I244" s="1" t="str">
        <f>CONCATENATE(H244,"-",J8)</f>
        <v>4050-kart. tm. oliva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6000-kart. tm. oliva</v>
      </c>
      <c r="D245" s="49">
        <v>225371</v>
      </c>
      <c r="E245" s="48" t="str">
        <f>+VLOOKUP(A245,cennik!A:G,2,FALSE)</f>
        <v>SEVROLL Gemini horné vedenie 6m oliva tmavá</v>
      </c>
      <c r="F245" s="48" t="str">
        <f>+VLOOKUP(A245,cennik!A:B,2,FALSE)</f>
        <v>SEVROLL Gemini horné vedenie 6m oliva tmavá</v>
      </c>
      <c r="H245" s="1">
        <v>6000</v>
      </c>
      <c r="I245" s="1" t="str">
        <f>CONCATENATE(H245,"-",J8)</f>
        <v>6000-kart. tm. oliva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1700-kart. čierna</v>
      </c>
      <c r="D246" s="49">
        <v>205163</v>
      </c>
      <c r="E246" s="48" t="str">
        <f>+VLOOKUP(A246,cennik!A:G,2,FALSE)</f>
        <v>SEVROLL Gemini horné vedenie 1,7m čierna kar</v>
      </c>
      <c r="F246" s="48" t="str">
        <f>+VLOOKUP(A246,cennik!A:B,2,FALSE)</f>
        <v>SEVROLL Gemini horné vedenie 1,7m čierna kar</v>
      </c>
      <c r="H246" s="1">
        <v>1700</v>
      </c>
      <c r="I246" s="1" t="str">
        <f>CONCATENATE(H246,"-",J9)</f>
        <v>1700-kart. čierna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2350-kart. čierna</v>
      </c>
      <c r="D247" s="49">
        <v>205165</v>
      </c>
      <c r="E247" s="48" t="str">
        <f>+VLOOKUP(A247,cennik!A:G,2,FALSE)</f>
        <v>SEVROLL Gemini horné vedenie 2,35m čierna ka</v>
      </c>
      <c r="F247" s="48" t="str">
        <f>+VLOOKUP(A247,cennik!A:B,2,FALSE)</f>
        <v>SEVROLL Gemini horné vedenie 2,35m čierna ka</v>
      </c>
      <c r="H247" s="1">
        <v>2350</v>
      </c>
      <c r="I247" s="1" t="str">
        <f>CONCATENATE(H247,"-",J9)</f>
        <v>2350-kart. čierna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3000-kart. čierna</v>
      </c>
      <c r="D248" s="49">
        <v>205167</v>
      </c>
      <c r="E248" s="48" t="str">
        <f>+VLOOKUP(A248,cennik!A:G,2,FALSE)</f>
        <v>SEVROLL Gemini horné vedenie 3m čierna kartá</v>
      </c>
      <c r="F248" s="48" t="str">
        <f>+VLOOKUP(A248,cennik!A:B,2,FALSE)</f>
        <v>SEVROLL Gemini horné vedenie 3m čierna kartá</v>
      </c>
      <c r="H248" s="1">
        <v>3000</v>
      </c>
      <c r="I248" s="1" t="str">
        <f>CONCATENATE(H248,"-",J9)</f>
        <v>3000-kart. čierna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4050-kart. čierna</v>
      </c>
      <c r="D249" s="49">
        <v>205169</v>
      </c>
      <c r="E249" s="48" t="str">
        <f>+VLOOKUP(A249,cennik!A:G,2,FALSE)</f>
        <v>SEVROLL Gemini horné vedenie 4,05m čierna ka</v>
      </c>
      <c r="F249" s="48" t="str">
        <f>+VLOOKUP(A249,cennik!A:B,2,FALSE)</f>
        <v>SEVROLL Gemini horné vedenie 4,05m čierna ka</v>
      </c>
      <c r="H249" s="1">
        <v>4050</v>
      </c>
      <c r="I249" s="1" t="str">
        <f>CONCATENATE(H249,"-",J9)</f>
        <v>4050-kart. čierna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6000-kart. čierna</v>
      </c>
      <c r="D250" s="48">
        <v>225372</v>
      </c>
      <c r="E250" s="48" t="str">
        <f>+VLOOKUP(A250,cennik!A:G,2,FALSE)</f>
        <v>SEVROLL Gemini horné vedenie 6m čierna kartá</v>
      </c>
      <c r="F250" s="48" t="str">
        <f>+VLOOKUP(A250,cennik!A:B,2,FALSE)</f>
        <v>SEVROLL Gemini horné vedenie 6m čierna kartá</v>
      </c>
      <c r="H250" s="1">
        <v>6000</v>
      </c>
      <c r="I250" s="1" t="str">
        <f>CONCATENATE(H250,"-",J9)</f>
        <v>6000-kart. čierna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1700-biela lesk</v>
      </c>
      <c r="D251" s="49">
        <v>276751</v>
      </c>
      <c r="E251" s="48" t="str">
        <f>+VLOOKUP(A251,cennik!A:G,2,FALSE)</f>
        <v>SEVROLL 04059 Gemini horné vedenie  1,7m biela lesk</v>
      </c>
      <c r="F251" s="48" t="str">
        <f>+VLOOKUP(A251,cennik!A:B,2,FALSE)</f>
        <v>SEVROLL 04059 Gemini horné vedenie  1,7m biela lesk</v>
      </c>
      <c r="H251" s="1">
        <v>1700</v>
      </c>
      <c r="I251" s="1" t="str">
        <f>CONCATENATE(H251,"-",J15)</f>
        <v>1700-biela lesk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2350-biela lesk</v>
      </c>
      <c r="D252" s="49">
        <v>267882</v>
      </c>
      <c r="E252" s="48" t="str">
        <f>+VLOOKUP(A252,cennik!A:G,2,FALSE)</f>
        <v>SEVROLL 04060 Gemini horné vedenie  2,35m biela lesk</v>
      </c>
      <c r="F252" s="48" t="str">
        <f>+VLOOKUP(A252,cennik!A:B,2,FALSE)</f>
        <v>SEVROLL 04060 Gemini horné vedenie  2,35m biela lesk</v>
      </c>
      <c r="H252" s="1">
        <v>2350</v>
      </c>
      <c r="I252" s="1" t="str">
        <f>CONCATENATE(H252,"-",J15)</f>
        <v>2350-biela lesk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3000-biela lesk</v>
      </c>
      <c r="D253" s="49">
        <v>252566</v>
      </c>
      <c r="E253" s="48" t="str">
        <f>+VLOOKUP(A253,cennik!A:G,2,FALSE)</f>
        <v>SEVROLL 04016 Gemini horné vedenie 3m biela lesk</v>
      </c>
      <c r="F253" s="48" t="str">
        <f>+VLOOKUP(A253,cennik!A:B,2,FALSE)</f>
        <v>SEVROLL 04016 Gemini horné vedenie 3m biela lesk</v>
      </c>
      <c r="H253" s="1">
        <v>3000</v>
      </c>
      <c r="I253" s="1" t="str">
        <f>CONCATENATE(H253,"-",J15)</f>
        <v>3000-biela lesk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4050-biela lesk</v>
      </c>
      <c r="D254" s="49">
        <v>276749</v>
      </c>
      <c r="E254" s="48" t="str">
        <f>+VLOOKUP(A254,cennik!A:G,2,FALSE)</f>
        <v>SEVROLL 04061 Gemini horné vedenie  4,05m biela lesk</v>
      </c>
      <c r="F254" s="48" t="str">
        <f>+VLOOKUP(A254,cennik!A:B,2,FALSE)</f>
        <v>SEVROLL 04061 Gemini horné vedenie  4,05m biela lesk</v>
      </c>
      <c r="H254" s="1">
        <v>4050</v>
      </c>
      <c r="I254" s="1" t="str">
        <f>CONCATENATE(H254,"-",J15)</f>
        <v>4050-biela lesk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6000-biela lesk</v>
      </c>
      <c r="D255" s="49">
        <v>311586</v>
      </c>
      <c r="E255" s="48" t="str">
        <f>+VLOOKUP(A255,cennik!A:G,2,FALSE)</f>
        <v>SEVROLL 03206 Gemini horné vedenie 6m biela lesk</v>
      </c>
      <c r="F255" s="48" t="str">
        <f>+VLOOKUP(A255,cennik!A:B,2,FALSE)</f>
        <v>SEVROLL 03206 Gemini horné vedenie 6m biela lesk</v>
      </c>
      <c r="H255" s="1">
        <v>6000</v>
      </c>
      <c r="I255" s="1" t="str">
        <f>CONCATENATE(H255,"-",J15)</f>
        <v>6000-biela lesk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1700-čierna lesk</v>
      </c>
      <c r="D256" s="2">
        <v>405407</v>
      </c>
      <c r="E256" s="48" t="str">
        <f>+VLOOKUP(A256,cennik!A:G,2,FALSE)</f>
        <v>SEVROLL 05175 Gemini horné vedenie 1,7m čierna lesk</v>
      </c>
      <c r="F256" s="48" t="str">
        <f>+VLOOKUP(A256,cennik!A:B,2,FALSE)</f>
        <v>SEVROLL 05175 Gemini horné vedenie 1,7m čierna lesk</v>
      </c>
      <c r="H256" s="1">
        <v>1700</v>
      </c>
      <c r="I256" s="1" t="str">
        <f>CONCATENATE(H256,"-",J16)</f>
        <v>1700-čierna lesk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2350-čierna lesk</v>
      </c>
      <c r="D257" s="2">
        <v>398096</v>
      </c>
      <c r="E257" s="48" t="str">
        <f>+VLOOKUP(A257,cennik!A:G,2,FALSE)</f>
        <v>SEVROLL 05176 Gemini horné vedenie 2,35m čierna lesk</v>
      </c>
      <c r="F257" s="48" t="str">
        <f>+VLOOKUP(A257,cennik!A:B,2,FALSE)</f>
        <v>SEVROLL 05176 Gemini horné vedenie 2,35m čierna lesk</v>
      </c>
      <c r="H257" s="1">
        <v>2350</v>
      </c>
      <c r="I257" s="1" t="str">
        <f>CONCATENATE(H257,"-",J16)</f>
        <v>2350-čierna lesk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3000-čierna lesk</v>
      </c>
      <c r="D258" s="2">
        <v>405423</v>
      </c>
      <c r="E258" s="48" t="str">
        <f>+VLOOKUP(A258,cennik!A:G,2,FALSE)</f>
        <v>SEVROLL 05177 Gemini horné vedenie 3m čierna lesk</v>
      </c>
      <c r="F258" s="48" t="str">
        <f>+VLOOKUP(A258,cennik!A:B,2,FALSE)</f>
        <v>SEVROLL 05177 Gemini horné vedenie 3m čierna lesk</v>
      </c>
      <c r="H258" s="1">
        <v>3000</v>
      </c>
      <c r="I258" s="1" t="str">
        <f>CONCATENATE(H258,"-",J16)</f>
        <v>3000-čierna lesk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4050-čierna lesk</v>
      </c>
      <c r="D259" s="2">
        <v>405425</v>
      </c>
      <c r="E259" s="48" t="str">
        <f>+VLOOKUP(A259,cennik!A:G,2,FALSE)</f>
        <v>SEVROLL 05178 Gemini horné vedenie 4,05m čierna lesk</v>
      </c>
      <c r="F259" s="48" t="str">
        <f>+VLOOKUP(A259,cennik!A:B,2,FALSE)</f>
        <v>SEVROLL 05178 Gemini horné vedenie 4,05m čierna lesk</v>
      </c>
      <c r="H259" s="1">
        <v>4050</v>
      </c>
      <c r="I259" s="1" t="str">
        <f>CONCATENATE(H259,"-",J16)</f>
        <v>4050-čierna lesk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6000-čierna lesk</v>
      </c>
      <c r="D260" s="2">
        <v>405426</v>
      </c>
      <c r="E260" s="48" t="str">
        <f>+VLOOKUP(A260,cennik!A:G,2,FALSE)</f>
        <v>SEVROLL 05179 Gemini horné vedenie 6m čierna lesk</v>
      </c>
      <c r="F260" s="48" t="str">
        <f>+VLOOKUP(A260,cennik!A:B,2,FALSE)</f>
        <v>SEVROLL 05179 Gemini horné vedenie 6m čierna lesk</v>
      </c>
      <c r="H260" s="1">
        <v>6000</v>
      </c>
      <c r="I260" s="1" t="str">
        <f>CONCATENATE(H260,"-",J16)</f>
        <v>6000-čierna lesk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horné vedenie 1,7m grafit</v>
      </c>
      <c r="F261" s="48" t="str">
        <f>+VLOOKUP(A261,cennik!A:B,2,FALSE)</f>
        <v>SEVROLL 06045 Gemini horné vedenie 1,7m grafit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horné vedenie 2,35m grafit</v>
      </c>
      <c r="F262" s="48" t="str">
        <f>+VLOOKUP(A262,cennik!A:B,2,FALSE)</f>
        <v>SEVROLL 06046 Gemini horné vedenie 2,35m grafit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horné vedenie 3m grafit</v>
      </c>
      <c r="F263" s="48" t="str">
        <f>+VLOOKUP(A263,cennik!A:B,2,FALSE)</f>
        <v>SEVROLL 06022 Gemini horné vedenie 3m grafit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horné vedenie  4,05m grafit</v>
      </c>
      <c r="F264" s="48" t="str">
        <f>+VLOOKUP(A264,cennik!A:B,2,FALSE)</f>
        <v>SEVROLL 06023 Gemini horné vedenie  4,05m grafit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horné vedenie 6m grafit</v>
      </c>
      <c r="F265" s="48" t="str">
        <f>+VLOOKUP(A265,cennik!A:B,2,FALSE)</f>
        <v>SEVROLL 06047 Gemini horné vedenie 6m grafit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1700-biela mat</v>
      </c>
      <c r="D266" s="1">
        <v>394802</v>
      </c>
      <c r="E266" s="48" t="str">
        <f>+VLOOKUP(A266,cennik!A:G,2,FALSE)</f>
        <v>SEVROLL 05082 Gemini horné vedenie 1,7m biely mat</v>
      </c>
      <c r="F266" s="48" t="str">
        <f>+VLOOKUP(A266,cennik!A:B,2,FALSE)</f>
        <v>SEVROLL 05082 Gemini horné vedenie 1,7m biely mat</v>
      </c>
      <c r="H266" s="1">
        <v>1700</v>
      </c>
      <c r="I266" s="1" t="str">
        <f>CONCATENATE(H266,"-",J18)</f>
        <v>1700-biela mat</v>
      </c>
    </row>
    <row r="267" spans="1:26" ht="15" customHeight="1" x14ac:dyDescent="0.3">
      <c r="A267" s="1">
        <v>394813</v>
      </c>
      <c r="C267" s="1" t="str">
        <f>CONCATENATE(H267,"-",J18)</f>
        <v>2350-biela mat</v>
      </c>
      <c r="D267" s="1">
        <v>394813</v>
      </c>
      <c r="E267" s="48" t="str">
        <f>+VLOOKUP(A267,cennik!A:G,2,FALSE)</f>
        <v>SEVROLL 05172 Gemini horné vedenie 2,35m biela mat</v>
      </c>
      <c r="F267" s="48" t="str">
        <f>+VLOOKUP(A267,cennik!A:B,2,FALSE)</f>
        <v>SEVROLL 05172 Gemini horné vedenie 2,35m biela mat</v>
      </c>
      <c r="H267" s="1">
        <v>2350</v>
      </c>
      <c r="I267" s="1" t="str">
        <f>CONCATENATE(H267,"-",J18)</f>
        <v>2350-biela mat</v>
      </c>
    </row>
    <row r="268" spans="1:26" ht="15" customHeight="1" x14ac:dyDescent="0.3">
      <c r="A268" s="1">
        <v>233016</v>
      </c>
      <c r="C268" s="1" t="str">
        <f>CONCATENATE(H268,"-",J18)</f>
        <v>3000-biela mat</v>
      </c>
      <c r="D268" s="1">
        <v>233016</v>
      </c>
      <c r="E268" s="48" t="str">
        <f>+VLOOKUP(A268,cennik!A:G,2,FALSE)</f>
        <v>SEVROLL 03889 Gemini horné vedenie 3m biela mat</v>
      </c>
      <c r="F268" s="48" t="str">
        <f>+VLOOKUP(A268,cennik!A:B,2,FALSE)</f>
        <v>SEVROLL 03889 Gemini horné vedenie 3m biela mat</v>
      </c>
      <c r="H268" s="1">
        <v>3000</v>
      </c>
      <c r="I268" s="1" t="str">
        <f>CONCATENATE(H268,"-",J18)</f>
        <v>3000-biela mat</v>
      </c>
    </row>
    <row r="269" spans="1:26" ht="15" customHeight="1" x14ac:dyDescent="0.3">
      <c r="A269" s="1">
        <v>394815</v>
      </c>
      <c r="C269" s="1" t="str">
        <f>CONCATENATE(H269,"-",J18)</f>
        <v>4050-biela mat</v>
      </c>
      <c r="D269" s="1">
        <v>394815</v>
      </c>
      <c r="E269" s="48" t="str">
        <f>+VLOOKUP(A269,cennik!A:G,2,FALSE)</f>
        <v>SEVROLL 05173 Gemini horné vedenie 4,05m biela mat</v>
      </c>
      <c r="F269" s="48" t="str">
        <f>+VLOOKUP(A269,cennik!A:B,2,FALSE)</f>
        <v>SEVROLL 05173 Gemini horné vedenie 4,05m biela mat</v>
      </c>
      <c r="H269" s="1">
        <v>4050</v>
      </c>
      <c r="I269" s="1" t="str">
        <f>CONCATENATE(H269,"-",J18)</f>
        <v>4050-biela mat</v>
      </c>
    </row>
    <row r="270" spans="1:26" ht="15" customHeight="1" x14ac:dyDescent="0.3">
      <c r="A270" s="1">
        <v>394824</v>
      </c>
      <c r="C270" s="1" t="str">
        <f>CONCATENATE(H270,"-",J18)</f>
        <v>6000-biela mat</v>
      </c>
      <c r="D270" s="1">
        <v>394824</v>
      </c>
      <c r="E270" s="48" t="str">
        <f>+VLOOKUP(A270,cennik!A:G,2,FALSE)</f>
        <v>SEVROLL 05174 Gemini horné vedenie 6m biela mat</v>
      </c>
      <c r="F270" s="48" t="str">
        <f>+VLOOKUP(A270,cennik!A:B,2,FALSE)</f>
        <v>SEVROLL 05174 Gemini horné vedenie 6m biela mat</v>
      </c>
      <c r="H270" s="1">
        <v>6000</v>
      </c>
      <c r="I270" s="1" t="str">
        <f>CONCATENATE(H270,"-",J18)</f>
        <v>6000-biela mat</v>
      </c>
    </row>
    <row r="271" spans="1:26" ht="15" customHeight="1" x14ac:dyDescent="0.3">
      <c r="A271" s="1">
        <v>422008</v>
      </c>
      <c r="C271" s="1" t="str">
        <f>CONCATENATE(H271,"-",J17)</f>
        <v>1700-čierna mat</v>
      </c>
      <c r="D271" s="1">
        <v>422008</v>
      </c>
      <c r="E271" s="48" t="str">
        <f>+VLOOKUP(A271,cennik!A:G,2,FALSE)</f>
        <v>SEVROLL 05313 Gemini horné vedenie 1,7m čierna mat</v>
      </c>
      <c r="F271" s="48" t="str">
        <f>+VLOOKUP(A271,cennik!A:B,2,FALSE)</f>
        <v>SEVROLL 05313 Gemini horné vedenie 1,7m čierna mat</v>
      </c>
      <c r="H271" s="1">
        <v>1700</v>
      </c>
      <c r="I271" s="1" t="str">
        <f>CONCATENATE(H271,"-",J17)</f>
        <v>1700-čierna mat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2350-čierna mat</v>
      </c>
      <c r="D272" s="1">
        <v>409670</v>
      </c>
      <c r="E272" s="48" t="str">
        <f>+VLOOKUP(A272,cennik!A:G,2,FALSE)</f>
        <v>SEVROLL 05314 Gemini horné vedenie 2,35m čierna mat</v>
      </c>
      <c r="F272" s="48" t="str">
        <f>+VLOOKUP(A272,cennik!A:B,2,FALSE)</f>
        <v>SEVROLL 05314 Gemini horné vedenie 2,35m čierna mat</v>
      </c>
      <c r="H272" s="1">
        <v>2350</v>
      </c>
      <c r="I272" s="1" t="str">
        <f>CONCATENATE(H272,"-",J17)</f>
        <v>2350-čierna mat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3000-čierna mat</v>
      </c>
      <c r="D273" s="1">
        <v>412229</v>
      </c>
      <c r="E273" s="48" t="str">
        <f>+VLOOKUP(A273,cennik!A:G,2,FALSE)</f>
        <v>SEVROLL 05315 Gemini horné vedenie 3m čierna mat</v>
      </c>
      <c r="F273" s="48" t="str">
        <f>+VLOOKUP(A273,cennik!A:B,2,FALSE)</f>
        <v>SEVROLL 05315 Gemini horné vedenie 3m čierna mat</v>
      </c>
      <c r="H273" s="1">
        <v>3000</v>
      </c>
      <c r="I273" s="1" t="str">
        <f>CONCATENATE(H273,"-",J17)</f>
        <v>3000-čierna mat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6000-čierna mat</v>
      </c>
      <c r="D274" s="2">
        <v>452736</v>
      </c>
      <c r="E274" s="48" t="str">
        <f>+VLOOKUP(A274,cennik!A:G,2,FALSE)</f>
        <v>SEVROLL 05316 Gemini horné vedenie 6m čierna mat</v>
      </c>
      <c r="F274" s="48" t="str">
        <f>+VLOOKUP(A274,cennik!A:B,2,FALSE)</f>
        <v>SEVROLL 05316 Gemini horné vedenie 6m čierna mat</v>
      </c>
      <c r="H274" s="1">
        <v>6000</v>
      </c>
      <c r="I274" s="1" t="str">
        <f>CONCATENATE(H274,"-",J17)</f>
        <v>6000-čierna mat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1700-čierna štrukturálna</v>
      </c>
      <c r="D275" s="196">
        <v>526516</v>
      </c>
      <c r="E275" s="48" t="str">
        <f>+VLOOKUP(A275,cennik!A:G,2,FALSE)</f>
        <v>SEVROLL 06285 Gemini horné  vedenie 1,7m čierna štrukturálna</v>
      </c>
      <c r="F275" s="48" t="str">
        <f>+VLOOKUP(A275,cennik!A:B,2,FALSE)</f>
        <v>SEVROLL 06285 Gemini horné  vedenie 1,7m čierna štrukturálna</v>
      </c>
      <c r="H275" s="1">
        <v>1700</v>
      </c>
      <c r="I275" s="1" t="str">
        <f>CONCATENATE(H275,"-",J22)</f>
        <v>1700-čierna štrukturálna</v>
      </c>
    </row>
    <row r="276" spans="1:26" ht="15" customHeight="1" x14ac:dyDescent="0.3">
      <c r="A276" s="196">
        <v>526519</v>
      </c>
      <c r="C276" s="1" t="str">
        <f>CONCATENATE(H276,"-",J22)</f>
        <v>2350-čierna štrukturálna</v>
      </c>
      <c r="D276" s="196">
        <v>526519</v>
      </c>
      <c r="E276" s="48" t="str">
        <f>+VLOOKUP(A276,cennik!A:G,2,FALSE)</f>
        <v>SEVROLL 06286 Gemini horné vedenie 2,35m čierna štrukturálna</v>
      </c>
      <c r="F276" s="48" t="str">
        <f>+VLOOKUP(A276,cennik!A:B,2,FALSE)</f>
        <v>SEVROLL 06286 Gemini horné vedenie 2,35m čierna štrukturálna</v>
      </c>
      <c r="H276" s="1">
        <v>2350</v>
      </c>
      <c r="I276" s="1" t="str">
        <f>CONCATENATE(H276,"-",J22)</f>
        <v>2350-čierna štrukturálna</v>
      </c>
    </row>
    <row r="277" spans="1:26" ht="15" customHeight="1" x14ac:dyDescent="0.3">
      <c r="A277" s="196">
        <v>526520</v>
      </c>
      <c r="C277" s="1" t="str">
        <f>CONCATENATE(H277,"-",J22)</f>
        <v>3000-čierna štrukturálna</v>
      </c>
      <c r="D277" s="196">
        <v>526520</v>
      </c>
      <c r="E277" s="48" t="str">
        <f>+VLOOKUP(A277,cennik!A:G,2,FALSE)</f>
        <v>SEVROLL 06287 Gemini horné  vedenie 3m čierna štrukturálna</v>
      </c>
      <c r="F277" s="48" t="str">
        <f>+VLOOKUP(A277,cennik!A:B,2,FALSE)</f>
        <v>SEVROLL 06287 Gemini horné  vedenie 3m čierna štrukturálna</v>
      </c>
      <c r="H277" s="1">
        <v>3000</v>
      </c>
      <c r="I277" s="1" t="str">
        <f>CONCATENATE(H277,"-",J22)</f>
        <v>3000-čierna štrukturálna</v>
      </c>
    </row>
    <row r="278" spans="1:26" ht="15" customHeight="1" x14ac:dyDescent="0.3">
      <c r="A278" s="196">
        <v>526521</v>
      </c>
      <c r="C278" s="1" t="str">
        <f>CONCATENATE(H278,"-",J22)</f>
        <v>4050-čierna štrukturálna</v>
      </c>
      <c r="D278" s="196">
        <v>526521</v>
      </c>
      <c r="E278" s="48" t="str">
        <f>+VLOOKUP(A278,cennik!A:G,2,FALSE)</f>
        <v>SEVROLL 06288 Gemini horné vedenie  4,05m čierna štrukturálna</v>
      </c>
      <c r="F278" s="48" t="str">
        <f>+VLOOKUP(A278,cennik!A:B,2,FALSE)</f>
        <v>SEVROLL 06288 Gemini horné vedenie  4,05m čierna štrukturálna</v>
      </c>
      <c r="H278" s="1">
        <v>4050</v>
      </c>
      <c r="I278" s="1" t="str">
        <f>CONCATENATE(H278,"-",J22)</f>
        <v>4050-čierna štrukturálna</v>
      </c>
    </row>
    <row r="279" spans="1:26" ht="15" customHeight="1" x14ac:dyDescent="0.3">
      <c r="A279" s="196">
        <v>526522</v>
      </c>
      <c r="C279" s="1" t="str">
        <f>CONCATENATE(H279,"-",J22)</f>
        <v>6000-čierna štrukturálna</v>
      </c>
      <c r="D279" s="196">
        <v>526522</v>
      </c>
      <c r="E279" s="48" t="str">
        <f>+VLOOKUP(A279,cennik!A:G,2,FALSE)</f>
        <v>SEVROLL 06154 Gemini horné vedenie 6m čierna štrukturálna</v>
      </c>
      <c r="F279" s="48" t="str">
        <f>+VLOOKUP(A279,cennik!A:B,2,FALSE)</f>
        <v>SEVROLL 06154 Gemini horné vedenie 6m čierna štrukturálna</v>
      </c>
      <c r="H279" s="1">
        <v>6000</v>
      </c>
      <c r="I279" s="1" t="str">
        <f>CONCATENATE(H279,"-",J22)</f>
        <v>6000-čierna štrukturálna</v>
      </c>
    </row>
    <row r="280" spans="1:26" s="442" customFormat="1" ht="15" customHeight="1" x14ac:dyDescent="0.3">
      <c r="A280" s="441">
        <v>233016</v>
      </c>
      <c r="C280" s="1" t="str">
        <f>CONCATENATE(H280,"-",J18)</f>
        <v>3000-biela mat</v>
      </c>
      <c r="D280" s="441">
        <v>233016</v>
      </c>
      <c r="E280" s="48" t="str">
        <f>+VLOOKUP(A280,cennik!A:G,2,FALSE)</f>
        <v>SEVROLL 03889 Gemini horné vedenie 3m biela mat</v>
      </c>
      <c r="F280" s="48" t="str">
        <f>+VLOOKUP(A280,cennik!A:B,2,FALSE)</f>
        <v>SEVROLL 03889 Gemini horné vedenie 3m biela mat</v>
      </c>
      <c r="H280" s="442">
        <v>3000</v>
      </c>
      <c r="I280" s="1" t="str">
        <f>CONCATENATE(H280,"-",J18)</f>
        <v>3000-biela mat</v>
      </c>
      <c r="Z280" s="1" t="b">
        <f t="shared" si="6"/>
        <v>1</v>
      </c>
    </row>
    <row r="281" spans="1:26" s="442" customFormat="1" ht="15" customHeight="1" x14ac:dyDescent="0.3">
      <c r="A281" s="441">
        <v>394802</v>
      </c>
      <c r="C281" s="1" t="str">
        <f>CONCATENATE(H281,"-",J18)</f>
        <v>1700-biela mat</v>
      </c>
      <c r="D281" s="441">
        <v>394802</v>
      </c>
      <c r="E281" s="48" t="str">
        <f>+VLOOKUP(A281,cennik!A:G,2,FALSE)</f>
        <v>SEVROLL 05082 Gemini horné vedenie 1,7m biely mat</v>
      </c>
      <c r="F281" s="48" t="str">
        <f>+VLOOKUP(A281,cennik!A:B,2,FALSE)</f>
        <v>SEVROLL 05082 Gemini horné vedenie 1,7m biely mat</v>
      </c>
      <c r="H281" s="442">
        <v>1700</v>
      </c>
      <c r="I281" s="1" t="str">
        <f>CONCATENATE(H281,"-",J18)</f>
        <v>1700-biela mat</v>
      </c>
      <c r="Z281" s="1" t="b">
        <f t="shared" si="6"/>
        <v>1</v>
      </c>
    </row>
    <row r="282" spans="1:26" s="442" customFormat="1" ht="15" customHeight="1" x14ac:dyDescent="0.3">
      <c r="A282" s="441">
        <v>394813</v>
      </c>
      <c r="C282" s="1" t="str">
        <f>CONCATENATE(H282,"-",J18)</f>
        <v>2350-biela mat</v>
      </c>
      <c r="D282" s="441">
        <v>394813</v>
      </c>
      <c r="E282" s="48" t="str">
        <f>+VLOOKUP(A282,cennik!A:G,2,FALSE)</f>
        <v>SEVROLL 05172 Gemini horné vedenie 2,35m biela mat</v>
      </c>
      <c r="F282" s="48" t="str">
        <f>+VLOOKUP(A282,cennik!A:B,2,FALSE)</f>
        <v>SEVROLL 05172 Gemini horné vedenie 2,35m biela mat</v>
      </c>
      <c r="H282" s="442">
        <v>2350</v>
      </c>
      <c r="I282" s="1" t="str">
        <f>CONCATENATE(H282,"-",J18)</f>
        <v>2350-biela mat</v>
      </c>
      <c r="Z282" s="1" t="b">
        <f t="shared" si="6"/>
        <v>1</v>
      </c>
    </row>
    <row r="283" spans="1:26" s="442" customFormat="1" ht="15" customHeight="1" x14ac:dyDescent="0.3">
      <c r="A283" s="441">
        <v>394815</v>
      </c>
      <c r="C283" s="1" t="str">
        <f>CONCATENATE(H283,"-",J18)</f>
        <v>4050-biela mat</v>
      </c>
      <c r="D283" s="441">
        <v>394815</v>
      </c>
      <c r="E283" s="48" t="str">
        <f>+VLOOKUP(A283,cennik!A:G,2,FALSE)</f>
        <v>SEVROLL 05173 Gemini horné vedenie 4,05m biela mat</v>
      </c>
      <c r="F283" s="48" t="str">
        <f>+VLOOKUP(A283,cennik!A:B,2,FALSE)</f>
        <v>SEVROLL 05173 Gemini horné vedenie 4,05m biela mat</v>
      </c>
      <c r="H283" s="442">
        <v>4050</v>
      </c>
      <c r="I283" s="1" t="str">
        <f>CONCATENATE(H283,"-",J18)</f>
        <v>4050-biela mat</v>
      </c>
      <c r="Z283" s="1" t="b">
        <f t="shared" si="6"/>
        <v>1</v>
      </c>
    </row>
    <row r="284" spans="1:26" s="442" customFormat="1" ht="15" customHeight="1" x14ac:dyDescent="0.3">
      <c r="A284" s="441">
        <v>394824</v>
      </c>
      <c r="C284" s="1" t="str">
        <f>CONCATENATE(H284,"-",J18)</f>
        <v>6000-biela mat</v>
      </c>
      <c r="D284" s="441">
        <v>394824</v>
      </c>
      <c r="E284" s="48" t="str">
        <f>+VLOOKUP(A284,cennik!A:G,2,FALSE)</f>
        <v>SEVROLL 05174 Gemini horné vedenie 6m biela mat</v>
      </c>
      <c r="F284" s="48" t="str">
        <f>+VLOOKUP(A284,cennik!A:B,2,FALSE)</f>
        <v>SEVROLL 05174 Gemini horné vedenie 6m biela mat</v>
      </c>
      <c r="H284" s="442">
        <v>6000</v>
      </c>
      <c r="I284" s="1" t="str">
        <f>CONCATENATE(H284,"-",J18)</f>
        <v>6000-biela mat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 xml:space="preserve">1500-strieborná </v>
      </c>
      <c r="D291" s="49">
        <v>349796</v>
      </c>
      <c r="E291" s="48" t="str">
        <f>+VLOOKUP(A291,cennik!A:G,2,FALSE)</f>
        <v>SEVROLL 04471 Blue horné vedenie 1,5m strieborná</v>
      </c>
      <c r="F291" s="48" t="str">
        <f>+VLOOKUP(A291,cennik!A:B,2,FALSE)</f>
        <v>SEVROLL 04471 Blue horné vedenie 1,5m strieborná</v>
      </c>
      <c r="H291" s="1">
        <v>1500</v>
      </c>
      <c r="I291" s="1" t="str">
        <f>CONCATENATE(H291,"-",J4)</f>
        <v xml:space="preserve">1500-strieborná 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 xml:space="preserve">2000-strieborná </v>
      </c>
      <c r="D292" s="49">
        <v>349475</v>
      </c>
      <c r="E292" s="48" t="str">
        <f>+VLOOKUP(A292,cennik!A:G,2,FALSE)</f>
        <v>SEVROLL 04472 Blue horné vedenie  2m strieborná</v>
      </c>
      <c r="F292" s="48" t="str">
        <f>+VLOOKUP(A292,cennik!A:B,2,FALSE)</f>
        <v>SEVROLL 04472 Blue horné vedenie  2m strieborná</v>
      </c>
      <c r="G292" s="1" t="e">
        <f>+VLOOKUP(A292,#REF!,4,FALSE)</f>
        <v>#REF!</v>
      </c>
      <c r="H292" s="1">
        <v>2000</v>
      </c>
      <c r="I292" s="1" t="str">
        <f>CONCATENATE(H292,"-",J4)</f>
        <v xml:space="preserve">2000-strieborná 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 xml:space="preserve">3000-strieborná </v>
      </c>
      <c r="D293" s="49">
        <v>349802</v>
      </c>
      <c r="E293" s="48" t="str">
        <f>+VLOOKUP(A293,cennik!A:G,2,FALSE)</f>
        <v>SEVROLL 04474 Blue horné vedenie  3m strieborná</v>
      </c>
      <c r="F293" s="48" t="str">
        <f>+VLOOKUP(A293,cennik!A:B,2,FALSE)</f>
        <v>SEVROLL 04474 Blue horné vedenie  3m strieborná</v>
      </c>
      <c r="H293" s="1">
        <v>3000</v>
      </c>
      <c r="I293" s="1" t="str">
        <f>CONCATENATE(H293,"-",J4)</f>
        <v xml:space="preserve">3000-strieborná 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 xml:space="preserve">4000-strieborná </v>
      </c>
      <c r="D294" s="49">
        <v>349804</v>
      </c>
      <c r="E294" s="48" t="str">
        <f>+VLOOKUP(A294,cennik!A:G,2,FALSE)</f>
        <v>SEVROLL 04475 Blue horné vedenie  4m strieborná</v>
      </c>
      <c r="F294" s="48" t="str">
        <f>+VLOOKUP(A294,cennik!A:B,2,FALSE)</f>
        <v>SEVROLL 04475 Blue horné vedenie  4m strieborná</v>
      </c>
      <c r="H294" s="1">
        <v>4000</v>
      </c>
      <c r="I294" s="1" t="str">
        <f>CONCATENATE(H294,"-",J4)</f>
        <v xml:space="preserve">4000-strieborná 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 xml:space="preserve">6000-strieborná </v>
      </c>
      <c r="D295" s="49">
        <v>349807</v>
      </c>
      <c r="E295" s="48" t="str">
        <f>+VLOOKUP(A295,cennik!A:G,2,FALSE)</f>
        <v>SEVROLL 04476 Blue horné vedenie  6m strieborná</v>
      </c>
      <c r="F295" s="48" t="str">
        <f>+VLOOKUP(A295,cennik!A:B,2,FALSE)</f>
        <v>SEVROLL 04476 Blue horné vedenie  6m strieborná</v>
      </c>
      <c r="H295" s="1">
        <v>6000</v>
      </c>
      <c r="I295" s="1" t="str">
        <f>CONCATENATE(H295,"-",J4)</f>
        <v xml:space="preserve">6000-strieborná 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1500-oliva</v>
      </c>
      <c r="D296" s="49">
        <v>349797</v>
      </c>
      <c r="E296" s="48" t="str">
        <f>+VLOOKUP(A296,cennik!A:G,2,FALSE)</f>
        <v>SEVROLL 04465 Blue horné vedenie 1,5m oliva</v>
      </c>
      <c r="F296" s="48" t="str">
        <f>+VLOOKUP(A296,cennik!A:B,2,FALSE)</f>
        <v>SEVROLL 04465 Blue horné vedenie 1,5m oliva</v>
      </c>
      <c r="H296" s="1">
        <v>1500</v>
      </c>
      <c r="I296" s="1" t="str">
        <f>CONCATENATE(H296,"-",J6)</f>
        <v>1500-oliva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2000-oliva</v>
      </c>
      <c r="D297" s="49">
        <v>349798</v>
      </c>
      <c r="E297" s="48" t="str">
        <f>+VLOOKUP(A297,cennik!A:G,2,FALSE)</f>
        <v>SEVROLL 04466 Blue horné vedenie  2m oliva</v>
      </c>
      <c r="F297" s="48" t="str">
        <f>+VLOOKUP(A297,cennik!A:B,2,FALSE)</f>
        <v>SEVROLL 04466 Blue horné vedenie  2m oliva</v>
      </c>
      <c r="H297" s="1">
        <v>2000</v>
      </c>
      <c r="I297" s="1" t="str">
        <f>CONCATENATE(H297,"-",J6)</f>
        <v>2000-oliva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3000-oliva</v>
      </c>
      <c r="D298" s="49">
        <v>349801</v>
      </c>
      <c r="E298" s="48" t="str">
        <f>+VLOOKUP(A298,cennik!A:G,2,FALSE)</f>
        <v>SEVROLL 04468 Blue horné vedenie  3m oliva</v>
      </c>
      <c r="F298" s="48" t="str">
        <f>+VLOOKUP(A298,cennik!A:B,2,FALSE)</f>
        <v>SEVROLL 04468 Blue horné vedenie  3m oliva</v>
      </c>
      <c r="H298" s="1">
        <v>3000</v>
      </c>
      <c r="I298" s="1" t="str">
        <f>CONCATENATE(H298,"-",J6)</f>
        <v>3000-oliva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2000-čierna mat</v>
      </c>
      <c r="D299" s="2">
        <v>488266</v>
      </c>
      <c r="E299" s="48" t="str">
        <f>+VLOOKUP(A299,cennik!A:G,2,FALSE)</f>
        <v>SEVROLL 05754 Blue horné vedenie 2m čierna mat</v>
      </c>
      <c r="F299" s="48" t="str">
        <f>+VLOOKUP(A299,cennik!A:B,2,FALSE)</f>
        <v>SEVROLL 05754 Blue horné vedenie 2m čierna mat</v>
      </c>
      <c r="H299" s="1">
        <v>2000</v>
      </c>
      <c r="I299" s="1" t="str">
        <f>CONCATENATE(H299,"-",J17)</f>
        <v>2000-čierna mat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3000-čierna mat</v>
      </c>
      <c r="D300" s="2">
        <v>488267</v>
      </c>
      <c r="E300" s="48" t="str">
        <f>+VLOOKUP(A300,cennik!A:G,2,FALSE)</f>
        <v>SEVROLL 05755 Blue horné vedenie 3m čierna mat</v>
      </c>
      <c r="F300" s="48" t="str">
        <f>+VLOOKUP(A300,cennik!A:B,2,FALSE)</f>
        <v>SEVROLL 05755 Blue horné vedenie 3m čierna mat</v>
      </c>
      <c r="H300" s="1">
        <v>3000</v>
      </c>
      <c r="I300" s="1" t="str">
        <f>CONCATENATE(H300,"-",J17)</f>
        <v>3000-čierna mat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6000-čierna mat</v>
      </c>
      <c r="D301" s="2">
        <v>488268</v>
      </c>
      <c r="E301" s="48" t="str">
        <f>+VLOOKUP(A301,cennik!A:G,2,FALSE)</f>
        <v>SEVROLL 05756 Blue horné vedenie 6m čierna mat</v>
      </c>
      <c r="F301" s="48" t="str">
        <f>+VLOOKUP(A301,cennik!A:B,2,FALSE)</f>
        <v>SEVROLL 05756 Blue horné vedenie 6m čierna mat</v>
      </c>
      <c r="H301" s="1">
        <v>6000</v>
      </c>
      <c r="I301" s="1" t="str">
        <f>CONCATENATE(H301,"-",J17)</f>
        <v>6000-čierna mat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1500-čierna mat</v>
      </c>
      <c r="D302" s="2">
        <v>488266</v>
      </c>
      <c r="E302" s="48" t="str">
        <f>+VLOOKUP(A302,cennik!A:G,2,FALSE)</f>
        <v>SEVROLL 05754 Blue horné vedenie 2m čierna mat</v>
      </c>
      <c r="F302" s="48" t="str">
        <f>+VLOOKUP(A302,cennik!A:B,2,FALSE)</f>
        <v>SEVROLL 05754 Blue horné vedenie 2m čierna mat</v>
      </c>
      <c r="H302" s="1">
        <v>1500</v>
      </c>
      <c r="I302" s="1" t="str">
        <f>CONCATENATE(H302,"-",J17)</f>
        <v>1500-čierna mat</v>
      </c>
      <c r="Z302" s="1" t="b">
        <f t="shared" si="7"/>
        <v>1</v>
      </c>
    </row>
    <row r="303" spans="1:26" ht="15" customHeight="1" x14ac:dyDescent="0.3">
      <c r="A303" s="439">
        <v>394287</v>
      </c>
      <c r="B303" s="439"/>
      <c r="C303" s="439" t="str">
        <f>CONCATENATE(H303,"-",J15)</f>
        <v>1500-biela lesk</v>
      </c>
      <c r="D303" s="439">
        <v>394287</v>
      </c>
      <c r="E303" s="437" t="str">
        <f>+VLOOKUP(A303,cennik!A:G,2,FALSE)</f>
        <v>SEVROLL 04937 Blue horné vedenie 2m biela lesk</v>
      </c>
      <c r="F303" s="437" t="str">
        <f>+VLOOKUP(A303,cennik!A:B,2,FALSE)</f>
        <v>SEVROLL 04937 Blue horné vedenie 2m biela lesk</v>
      </c>
      <c r="G303" s="439"/>
      <c r="H303" s="439">
        <v>1500</v>
      </c>
      <c r="I303" s="439" t="str">
        <f>CONCATENATE(H303,"-",J15)</f>
        <v>1500-biela lesk</v>
      </c>
      <c r="Z303" s="1" t="b">
        <f t="shared" si="7"/>
        <v>1</v>
      </c>
    </row>
    <row r="304" spans="1:26" ht="15" customHeight="1" x14ac:dyDescent="0.3">
      <c r="A304" s="439">
        <v>394287</v>
      </c>
      <c r="B304" s="439"/>
      <c r="C304" s="439" t="str">
        <f>CONCATENATE(H304,"-",J15)</f>
        <v>2000-biela lesk</v>
      </c>
      <c r="D304" s="439">
        <v>394287</v>
      </c>
      <c r="E304" s="437" t="str">
        <f>+VLOOKUP(A304,cennik!A:G,2,FALSE)</f>
        <v>SEVROLL 04937 Blue horné vedenie 2m biela lesk</v>
      </c>
      <c r="F304" s="437" t="str">
        <f>+VLOOKUP(A304,cennik!A:B,2,FALSE)</f>
        <v>SEVROLL 04937 Blue horné vedenie 2m biela lesk</v>
      </c>
      <c r="G304" s="439"/>
      <c r="H304" s="439">
        <v>2000</v>
      </c>
      <c r="I304" s="439" t="str">
        <f>CONCATENATE(H304,"-",J15)</f>
        <v>2000-biela lesk</v>
      </c>
      <c r="Z304" s="1" t="b">
        <f t="shared" si="7"/>
        <v>1</v>
      </c>
    </row>
    <row r="305" spans="1:26" ht="15" customHeight="1" x14ac:dyDescent="0.3">
      <c r="A305" s="439">
        <v>394289</v>
      </c>
      <c r="B305" s="439"/>
      <c r="C305" s="439" t="str">
        <f>CONCATENATE(H305,"-",J15)</f>
        <v>3000-biela lesk</v>
      </c>
      <c r="D305" s="439">
        <v>394289</v>
      </c>
      <c r="E305" s="437" t="str">
        <f>+VLOOKUP(A305,cennik!A:G,2,FALSE)</f>
        <v>SEVROLL 04938 Blue horné vedenie 3m biela lesk</v>
      </c>
      <c r="F305" s="437" t="str">
        <f>+VLOOKUP(A305,cennik!A:B,2,FALSE)</f>
        <v>SEVROLL 04938 Blue horné vedenie 3m biela lesk</v>
      </c>
      <c r="G305" s="439"/>
      <c r="H305" s="439">
        <v>3000</v>
      </c>
      <c r="I305" s="439" t="str">
        <f>CONCATENATE(H305,"-",J15)</f>
        <v>3000-biela lesk</v>
      </c>
      <c r="Z305" s="1" t="b">
        <f t="shared" si="7"/>
        <v>1</v>
      </c>
    </row>
    <row r="306" spans="1:26" ht="15" customHeight="1" x14ac:dyDescent="0.3">
      <c r="A306" s="439">
        <v>394290</v>
      </c>
      <c r="B306" s="439"/>
      <c r="C306" s="439" t="str">
        <f>CONCATENATE(H306,"-",J15)</f>
        <v>6000-biela lesk</v>
      </c>
      <c r="D306" s="439">
        <v>394290</v>
      </c>
      <c r="E306" s="437" t="str">
        <f>+VLOOKUP(A306,cennik!A:G,2,FALSE)</f>
        <v>SEVROLL 04939 Blue horné vedenie 6m biela lesk</v>
      </c>
      <c r="F306" s="437" t="str">
        <f>+VLOOKUP(A306,cennik!A:B,2,FALSE)</f>
        <v>SEVROLL 04939 Blue horné vedenie 6m biela lesk</v>
      </c>
      <c r="G306" s="439"/>
      <c r="H306" s="439">
        <v>6000</v>
      </c>
      <c r="I306" s="439" t="str">
        <f>CONCATENATE(H306,"-",J15)</f>
        <v>6000-biela lesk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4000-oliva</v>
      </c>
      <c r="D307" s="49">
        <v>349805</v>
      </c>
      <c r="E307" s="48" t="str">
        <f>+VLOOKUP(A307,cennik!A:G,2,FALSE)</f>
        <v>SEVROLL 04469 Blue horné vedenie  4m oliva</v>
      </c>
      <c r="F307" s="48" t="str">
        <f>+VLOOKUP(A307,cennik!A:B,2,FALSE)</f>
        <v>SEVROLL 04469 Blue horné vedenie  4m oliva</v>
      </c>
      <c r="H307" s="1">
        <v>4000</v>
      </c>
      <c r="I307" s="1" t="str">
        <f>CONCATENATE(H307,"-",J6)</f>
        <v>4000-oliva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6000-oliva</v>
      </c>
      <c r="D308" s="49">
        <v>349806</v>
      </c>
      <c r="E308" s="48" t="str">
        <f>+VLOOKUP(A308,cennik!A:G,2,FALSE)</f>
        <v>SEVROLL 04470 Blue horné vedenie  6m oliva</v>
      </c>
      <c r="F308" s="48" t="str">
        <f>+VLOOKUP(A308,cennik!A:B,2,FALSE)</f>
        <v>SEVROLL 04470 Blue horné vedenie  6m oliva</v>
      </c>
      <c r="H308" s="1">
        <v>6000</v>
      </c>
      <c r="I308" s="1" t="str">
        <f>CONCATENATE(H308,"-",J6)</f>
        <v>6000-oliva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 xml:space="preserve">1500-strieborná </v>
      </c>
      <c r="D311" s="49">
        <v>349810</v>
      </c>
      <c r="E311" s="48" t="str">
        <f>+VLOOKUP(A311,cennik!A:G,2,FALSE)</f>
        <v>SEVROLL 04495 Blue-V spodné vedenie 1,5m strieborná</v>
      </c>
      <c r="F311" s="48" t="str">
        <f>+VLOOKUP(A311,cennik!A:B,2,FALSE)</f>
        <v>SEVROLL 04495 Blue-V spodné vedenie 1,5m strieborná</v>
      </c>
      <c r="H311" s="1">
        <v>1500</v>
      </c>
      <c r="I311" s="1" t="str">
        <f>CONCATENATE(H311,"-",J4)</f>
        <v xml:space="preserve">1500-strieborná 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 xml:space="preserve">2000-strieborná </v>
      </c>
      <c r="D312" s="49">
        <v>349476</v>
      </c>
      <c r="E312" s="48" t="str">
        <f>+VLOOKUP(A312,cennik!A:G,2,FALSE)</f>
        <v>SEVROLL 04496 Blue-V spodné vedenie  2m strieborná</v>
      </c>
      <c r="F312" s="48" t="str">
        <f>+VLOOKUP(A312,cennik!A:B,2,FALSE)</f>
        <v>SEVROLL 04496 Blue-V spodné vedenie  2m strieborná</v>
      </c>
      <c r="G312" s="1" t="e">
        <f>+VLOOKUP(A312,#REF!,4,FALSE)</f>
        <v>#REF!</v>
      </c>
      <c r="H312" s="1">
        <v>2000</v>
      </c>
      <c r="I312" s="1" t="str">
        <f>CONCATENATE(H312,"-",J4)</f>
        <v xml:space="preserve">2000-strieborná 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 xml:space="preserve">3000-strieborná </v>
      </c>
      <c r="D313" s="49">
        <v>349814</v>
      </c>
      <c r="E313" s="48" t="str">
        <f>+VLOOKUP(A313,cennik!A:G,2,FALSE)</f>
        <v>SEVROLL 04498 Blue-V spodné vedenie  3m strieborná</v>
      </c>
      <c r="F313" s="48" t="str">
        <f>+VLOOKUP(A313,cennik!A:B,2,FALSE)</f>
        <v>SEVROLL 04498 Blue-V spodné vedenie  3m strieborná</v>
      </c>
      <c r="H313" s="1">
        <v>3000</v>
      </c>
      <c r="I313" s="1" t="str">
        <f>CONCATENATE(H313,"-",J4)</f>
        <v xml:space="preserve">3000-strieborná 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 xml:space="preserve">4000-strieborná </v>
      </c>
      <c r="D314" s="49">
        <v>349819</v>
      </c>
      <c r="E314" s="48" t="str">
        <f>+VLOOKUP(A314,cennik!A:G,2,FALSE)</f>
        <v>SEVROLL 04499 Blue-V spodné vedenie  4m strieborná</v>
      </c>
      <c r="F314" s="48" t="str">
        <f>+VLOOKUP(A314,cennik!A:B,2,FALSE)</f>
        <v>SEVROLL 04499 Blue-V spodné vedenie  4m strieborná</v>
      </c>
      <c r="H314" s="1">
        <v>4000</v>
      </c>
      <c r="I314" s="1" t="str">
        <f>CONCATENATE(H314,"-",J4)</f>
        <v xml:space="preserve">4000-strieborná 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 xml:space="preserve">6000-strieborná </v>
      </c>
      <c r="D315" s="49">
        <v>349818</v>
      </c>
      <c r="E315" s="48" t="str">
        <f>+VLOOKUP(A315,cennik!A:G,2,FALSE)</f>
        <v>SEVROLL 04500 Blue-V spodné vedenie  6m strieborná</v>
      </c>
      <c r="F315" s="48" t="str">
        <f>+VLOOKUP(A315,cennik!A:B,2,FALSE)</f>
        <v>SEVROLL 04500 Blue-V spodné vedenie  6m strieborná</v>
      </c>
      <c r="H315" s="1">
        <v>6000</v>
      </c>
      <c r="I315" s="1" t="str">
        <f>CONCATENATE(H315,"-",J4)</f>
        <v xml:space="preserve">6000-strieborná 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1500-čierna mat</v>
      </c>
      <c r="D316" s="2">
        <v>488257</v>
      </c>
      <c r="E316" s="48" t="str">
        <f>+VLOOKUP(A316,cennik!A:G,2,FALSE)</f>
        <v>SEVROLL 05751 Blue-V spodné vedenie 2m čierna mat</v>
      </c>
      <c r="F316" s="48" t="str">
        <f>+VLOOKUP(A316,cennik!A:B,2,FALSE)</f>
        <v>SEVROLL 05751 Blue-V spodné vedenie 2m čierna mat</v>
      </c>
      <c r="H316" s="1">
        <v>1500</v>
      </c>
      <c r="I316" s="1" t="str">
        <f>CONCATENATE(H316,"-",J17)</f>
        <v>1500-čierna mat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2000-čierna mat</v>
      </c>
      <c r="D317" s="2">
        <v>488257</v>
      </c>
      <c r="E317" s="48" t="str">
        <f>+VLOOKUP(A317,cennik!A:G,2,FALSE)</f>
        <v>SEVROLL 05751 Blue-V spodné vedenie 2m čierna mat</v>
      </c>
      <c r="F317" s="48" t="str">
        <f>+VLOOKUP(A317,cennik!A:B,2,FALSE)</f>
        <v>SEVROLL 05751 Blue-V spodné vedenie 2m čierna mat</v>
      </c>
      <c r="H317" s="1">
        <v>2000</v>
      </c>
      <c r="I317" s="1" t="str">
        <f>CONCATENATE(H317,"-",J17)</f>
        <v>2000-čierna mat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3000-čierna mat</v>
      </c>
      <c r="D318" s="2">
        <v>488258</v>
      </c>
      <c r="E318" s="48" t="str">
        <f>+VLOOKUP(A318,cennik!A:G,2,FALSE)</f>
        <v>SEVROLL 05752 Blue-V spodné vedenie 3m čierna mat</v>
      </c>
      <c r="F318" s="48" t="str">
        <f>+VLOOKUP(A318,cennik!A:B,2,FALSE)</f>
        <v>SEVROLL 05752 Blue-V spodné vedenie 3m čierna mat</v>
      </c>
      <c r="H318" s="1">
        <v>3000</v>
      </c>
      <c r="I318" s="1" t="str">
        <f>CONCATENATE(H318,"-",J17)</f>
        <v>3000-čierna mat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6000-čierna mat</v>
      </c>
      <c r="D319" s="2">
        <v>488259</v>
      </c>
      <c r="E319" s="48" t="str">
        <f>+VLOOKUP(A319,cennik!A:G,2,FALSE)</f>
        <v>SEVROLL 05753 Blue-V spodné vedenie 6m čierna mat</v>
      </c>
      <c r="F319" s="48" t="str">
        <f>+VLOOKUP(A319,cennik!A:B,2,FALSE)</f>
        <v>SEVROLL 05753 Blue-V spodné vedenie 6m čierna mat</v>
      </c>
      <c r="H319" s="1">
        <v>6000</v>
      </c>
      <c r="I319" s="1" t="str">
        <f>CONCATENATE(H319,"-",J17)</f>
        <v>6000-čierna mat</v>
      </c>
      <c r="Z319" s="1" t="b">
        <f t="shared" si="7"/>
        <v>1</v>
      </c>
    </row>
    <row r="320" spans="1:26" ht="15" customHeight="1" x14ac:dyDescent="0.3">
      <c r="A320" s="439">
        <v>394283</v>
      </c>
      <c r="B320" s="439"/>
      <c r="C320" s="439" t="str">
        <f>CONCATENATE(H320,"-",J15)</f>
        <v>2000-biela lesk</v>
      </c>
      <c r="D320" s="439">
        <v>394283</v>
      </c>
      <c r="E320" s="437" t="str">
        <f>+VLOOKUP(A320,cennik!A:G,2,FALSE)</f>
        <v>SEVROLL 04934 Blue-V spodné vedenie 2m biela lesk</v>
      </c>
      <c r="F320" s="437" t="str">
        <f>+VLOOKUP(A320,cennik!A:B,2,FALSE)</f>
        <v>SEVROLL 04934 Blue-V spodné vedenie 2m biela lesk</v>
      </c>
      <c r="G320" s="439"/>
      <c r="H320" s="439">
        <v>2000</v>
      </c>
      <c r="I320" s="439" t="str">
        <f>CONCATENATE(H320,"-",J15)</f>
        <v>2000-biela lesk</v>
      </c>
      <c r="Z320" s="1" t="b">
        <f t="shared" si="7"/>
        <v>1</v>
      </c>
    </row>
    <row r="321" spans="1:26" ht="15" customHeight="1" x14ac:dyDescent="0.3">
      <c r="A321" s="439">
        <v>394284</v>
      </c>
      <c r="B321" s="439"/>
      <c r="C321" s="439" t="str">
        <f>CONCATENATE(H321,"-",J15)</f>
        <v>3000-biela lesk</v>
      </c>
      <c r="D321" s="439">
        <v>394284</v>
      </c>
      <c r="E321" s="437" t="str">
        <f>+VLOOKUP(A321,cennik!A:G,2,FALSE)</f>
        <v>SEVROLL 04935 Blue-V spodné vedenie 3m biela lesk</v>
      </c>
      <c r="F321" s="437" t="str">
        <f>+VLOOKUP(A321,cennik!A:B,2,FALSE)</f>
        <v>SEVROLL 04935 Blue-V spodné vedenie 3m biela lesk</v>
      </c>
      <c r="G321" s="439"/>
      <c r="H321" s="439">
        <v>3000</v>
      </c>
      <c r="I321" s="439" t="str">
        <f>CONCATENATE(H321,"-",J15)</f>
        <v>3000-biela lesk</v>
      </c>
      <c r="Z321" s="1" t="b">
        <f t="shared" si="7"/>
        <v>1</v>
      </c>
    </row>
    <row r="322" spans="1:26" ht="15" customHeight="1" x14ac:dyDescent="0.3">
      <c r="A322" s="439">
        <v>394285</v>
      </c>
      <c r="B322" s="439"/>
      <c r="C322" s="439" t="str">
        <f>CONCATENATE(H322,"-",J15)</f>
        <v>6000-biela lesk</v>
      </c>
      <c r="D322" s="439">
        <v>394285</v>
      </c>
      <c r="E322" s="437" t="str">
        <f>+VLOOKUP(A322,cennik!A:G,2,FALSE)</f>
        <v>SEVROLL 04936 Blue-V spodné vedenie 6m biela lesk</v>
      </c>
      <c r="F322" s="437" t="str">
        <f>+VLOOKUP(A322,cennik!A:B,2,FALSE)</f>
        <v>SEVROLL 04936 Blue-V spodné vedenie 6m biela lesk</v>
      </c>
      <c r="G322" s="439"/>
      <c r="H322" s="439">
        <v>6000</v>
      </c>
      <c r="I322" s="439" t="str">
        <f>CONCATENATE(H322,"-",J15)</f>
        <v>6000-biela lesk</v>
      </c>
      <c r="Z322" s="1" t="b">
        <f t="shared" si="7"/>
        <v>1</v>
      </c>
    </row>
    <row r="323" spans="1:26" ht="15" customHeight="1" x14ac:dyDescent="0.3">
      <c r="A323" s="439">
        <v>394283</v>
      </c>
      <c r="B323" s="439"/>
      <c r="C323" s="439" t="str">
        <f>CONCATENATE(H323,"-",J15)</f>
        <v>1500-biela lesk</v>
      </c>
      <c r="D323" s="439">
        <v>394283</v>
      </c>
      <c r="E323" s="437" t="str">
        <f>+VLOOKUP(A323,cennik!A:G,2,FALSE)</f>
        <v>SEVROLL 04934 Blue-V spodné vedenie 2m biela lesk</v>
      </c>
      <c r="F323" s="437" t="str">
        <f>+VLOOKUP(A323,cennik!A:B,2,FALSE)</f>
        <v>SEVROLL 04934 Blue-V spodné vedenie 2m biela lesk</v>
      </c>
      <c r="G323" s="439"/>
      <c r="H323" s="439">
        <v>1500</v>
      </c>
      <c r="I323" s="439" t="str">
        <f>CONCATENATE(H323,"-",J15)</f>
        <v>1500-biela lesk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1500-oliva</v>
      </c>
      <c r="D324" s="49">
        <v>349812</v>
      </c>
      <c r="E324" s="48" t="str">
        <f>+VLOOKUP(A324,cennik!A:G,2,FALSE)</f>
        <v>SEVROLL 04489 Blue-V spodné vedenie 1,5m oliva</v>
      </c>
      <c r="F324" s="48" t="str">
        <f>+VLOOKUP(A324,cennik!A:B,2,FALSE)</f>
        <v>SEVROLL 04489 Blue-V spodné vedenie 1,5m oliva</v>
      </c>
      <c r="H324" s="1">
        <v>1500</v>
      </c>
      <c r="I324" s="1" t="str">
        <f>CONCATENATE(H324,"-",J6)</f>
        <v>1500-oliva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2000-oliva</v>
      </c>
      <c r="D325" s="49">
        <v>349809</v>
      </c>
      <c r="E325" s="48" t="str">
        <f>+VLOOKUP(A325,cennik!A:G,2,FALSE)</f>
        <v>SEVROLL 04490 Blue-V spodné vedenie  2m oliva</v>
      </c>
      <c r="F325" s="48" t="str">
        <f>+VLOOKUP(A325,cennik!A:B,2,FALSE)</f>
        <v>SEVROLL 04490 Blue-V spodné vedenie  2m oliva</v>
      </c>
      <c r="H325" s="1">
        <v>2000</v>
      </c>
      <c r="I325" s="1" t="str">
        <f>CONCATENATE(H325,"-",J6)</f>
        <v>2000-oliva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3000-oliva</v>
      </c>
      <c r="D326" s="49">
        <v>349815</v>
      </c>
      <c r="E326" s="48" t="str">
        <f>+VLOOKUP(A326,cennik!A:G,2,FALSE)</f>
        <v>SEVROLL 04492 Blue-V spodné vedenie  3m oliva</v>
      </c>
      <c r="F326" s="48" t="str">
        <f>+VLOOKUP(A326,cennik!A:B,2,FALSE)</f>
        <v>SEVROLL 04492 Blue-V spodné vedenie  3m oliva</v>
      </c>
      <c r="H326" s="1">
        <v>3000</v>
      </c>
      <c r="I326" s="1" t="str">
        <f>CONCATENATE(H326,"-",J6)</f>
        <v>3000-oliva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4000-oliva</v>
      </c>
      <c r="D327" s="49">
        <v>349816</v>
      </c>
      <c r="E327" s="48" t="str">
        <f>+VLOOKUP(A327,cennik!A:G,2,FALSE)</f>
        <v>SEVROLL 04493 Blue-V spodné vedenie  4m oliva</v>
      </c>
      <c r="F327" s="48" t="str">
        <f>+VLOOKUP(A327,cennik!A:B,2,FALSE)</f>
        <v>SEVROLL 04493 Blue-V spodné vedenie  4m oliva</v>
      </c>
      <c r="H327" s="1">
        <v>4000</v>
      </c>
      <c r="I327" s="1" t="str">
        <f>CONCATENATE(H327,"-",J6)</f>
        <v>4000-oliva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6000-oliva</v>
      </c>
      <c r="D328" s="49">
        <v>349817</v>
      </c>
      <c r="E328" s="48" t="str">
        <f>+VLOOKUP(A328,cennik!A:G,2,FALSE)</f>
        <v>SEVROLL 04494 Blue-V spodné vedenie 6m oliva</v>
      </c>
      <c r="F328" s="48" t="str">
        <f>+VLOOKUP(A328,cennik!A:B,2,FALSE)</f>
        <v>SEVROLL 04494 Blue-V spodné vedenie 6m oliva</v>
      </c>
      <c r="H328" s="1">
        <v>6000</v>
      </c>
      <c r="I328" s="1" t="str">
        <f>CONCATENATE(H328,"-",J6)</f>
        <v>6000-oliva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 xml:space="preserve">strieborná </v>
      </c>
      <c r="D330" s="49">
        <v>98073</v>
      </c>
      <c r="E330" s="48" t="str">
        <f>+VLOOKUP(A330,cennik!A:G,2,FALSE)</f>
        <v>SEVROLL System 10 II úch.lišta 2,7m striebor</v>
      </c>
      <c r="F330" s="48" t="str">
        <f>+VLOOKUP(A330,cennik!A:B,2,FALSE)</f>
        <v>SEVROLL System 10 II úch.lišta 2,7m striebor</v>
      </c>
      <c r="G330" s="1" t="e">
        <f>+VLOOKUP(A330,#REF!,4,FALSE)</f>
        <v>#REF!</v>
      </c>
      <c r="I330" s="1" t="str">
        <f>J4</f>
        <v xml:space="preserve">strieborná 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oliva</v>
      </c>
      <c r="D331" s="49">
        <v>98074</v>
      </c>
      <c r="E331" s="48" t="str">
        <f>+VLOOKUP(A331,cennik!A:G,2,FALSE)</f>
        <v>SEVROLL System 10 II úch.lišta 2,7m oliva</v>
      </c>
      <c r="F331" s="48" t="str">
        <f>+VLOOKUP(A331,cennik!A:B,2,FALSE)</f>
        <v>SEVROLL System 10 II úch.lišta 2,7m oliva</v>
      </c>
      <c r="G331" s="1" t="e">
        <f>+VLOOKUP(A331,#REF!,4,FALSE)</f>
        <v>#REF!</v>
      </c>
      <c r="I331" s="1" t="str">
        <f>J6</f>
        <v>oliva</v>
      </c>
      <c r="Z331" s="1" t="b">
        <f t="shared" si="7"/>
        <v>1</v>
      </c>
    </row>
    <row r="332" spans="1:26" ht="15" customHeight="1" x14ac:dyDescent="0.3">
      <c r="A332" s="49">
        <v>98075</v>
      </c>
      <c r="B332" s="48"/>
      <c r="C332" s="1" t="str">
        <f>J5</f>
        <v>zlatá</v>
      </c>
      <c r="D332" s="49">
        <v>98075</v>
      </c>
      <c r="E332" s="48" t="str">
        <f>+VLOOKUP(A332,cennik!A:G,2,FALSE)</f>
        <v>SEVROLL System 10 II úchytová lišta 2,7m zlatá</v>
      </c>
      <c r="F332" s="48" t="str">
        <f>+VLOOKUP(A332,cennik!A:B,2,FALSE)</f>
        <v>SEVROLL System 10 II úchytová lišta 2,7m zlatá</v>
      </c>
      <c r="G332" s="1" t="e">
        <f>+VLOOKUP(A332,#REF!,4,FALSE)</f>
        <v>#REF!</v>
      </c>
      <c r="I332" s="1" t="str">
        <f>J5</f>
        <v>zlatá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22" customFormat="1" ht="15" customHeight="1" x14ac:dyDescent="0.3">
      <c r="A335" s="426">
        <v>89230</v>
      </c>
      <c r="B335" s="424"/>
      <c r="C335" s="422" t="str">
        <f>CONCATENATE(H335,"-",J4)</f>
        <v xml:space="preserve">1700-strieborná </v>
      </c>
      <c r="D335" s="426">
        <v>89230</v>
      </c>
      <c r="E335" s="424" t="str">
        <f>+VLOOKUP(A335,cennik!A:G,2,FALSE)</f>
        <v>SEVROLL 206 VOD.LIŠTA HOR.1,7M STRIEBOR.</v>
      </c>
      <c r="F335" s="424" t="str">
        <f>+VLOOKUP(A335,cennik!A:B,2,FALSE)</f>
        <v>SEVROLL 206 VOD.LIŠTA HOR.1,7M STRIEBOR.</v>
      </c>
      <c r="G335" s="422" t="e">
        <f>+VLOOKUP(A335,#REF!,4,FALSE)</f>
        <v>#REF!</v>
      </c>
      <c r="H335" s="422">
        <v>1700</v>
      </c>
      <c r="I335" s="422" t="str">
        <f>CONCATENATE(H335,"-",J4)</f>
        <v xml:space="preserve">1700-strieborná </v>
      </c>
      <c r="Z335" s="1" t="b">
        <f t="shared" si="7"/>
        <v>1</v>
      </c>
    </row>
    <row r="336" spans="1:26" s="422" customFormat="1" ht="15" customHeight="1" x14ac:dyDescent="0.3">
      <c r="A336" s="426">
        <v>89231</v>
      </c>
      <c r="B336" s="424"/>
      <c r="C336" s="422" t="str">
        <f>CONCATENATE(H336,"-",J6)</f>
        <v>1700-oliva</v>
      </c>
      <c r="D336" s="426">
        <v>89231</v>
      </c>
      <c r="E336" s="424" t="str">
        <f>+VLOOKUP(A336,cennik!A:G,2,FALSE)</f>
        <v>SEVROLL 206 VOD.LIŠTA HOR.1,7M OLIVOVÁ</v>
      </c>
      <c r="F336" s="424" t="str">
        <f>+VLOOKUP(A336,cennik!A:B,2,FALSE)</f>
        <v>SEVROLL 206 VOD.LIŠTA HOR.1,7M OLIVOVÁ</v>
      </c>
      <c r="G336" s="422" t="e">
        <f>+VLOOKUP(A336,#REF!,4,FALSE)</f>
        <v>#REF!</v>
      </c>
      <c r="H336" s="422">
        <v>1700</v>
      </c>
      <c r="I336" s="422" t="str">
        <f>CONCATENATE(H336,"-",J6)</f>
        <v>1700-oliva</v>
      </c>
      <c r="Z336" s="1" t="b">
        <f t="shared" si="7"/>
        <v>1</v>
      </c>
    </row>
    <row r="337" spans="1:26" s="422" customFormat="1" ht="15" customHeight="1" x14ac:dyDescent="0.3">
      <c r="A337" s="426">
        <v>89251</v>
      </c>
      <c r="B337" s="424"/>
      <c r="C337" s="422" t="str">
        <f>CONCATENATE(H337,"-",J5)</f>
        <v>1700-zlatá</v>
      </c>
      <c r="D337" s="426">
        <v>89251</v>
      </c>
      <c r="E337" s="424" t="str">
        <f>+VLOOKUP(A337,cennik!A:G,2,FALSE)</f>
        <v>SEVROLL - horná vodiaca lišta 1,7m zlatá</v>
      </c>
      <c r="F337" s="424" t="str">
        <f>+VLOOKUP(A337,cennik!A:B,2,FALSE)</f>
        <v>SEVROLL - horná vodiaca lišta 1,7m zlatá</v>
      </c>
      <c r="G337" s="422" t="e">
        <f>+VLOOKUP(A337,#REF!,4,FALSE)</f>
        <v>#REF!</v>
      </c>
      <c r="H337" s="422">
        <v>1700</v>
      </c>
      <c r="I337" s="422" t="str">
        <f>CONCATENATE(H337,"-",J5)</f>
        <v>1700-zlatá</v>
      </c>
      <c r="Z337" s="1" t="b">
        <f t="shared" si="7"/>
        <v>1</v>
      </c>
    </row>
    <row r="338" spans="1:26" s="422" customFormat="1" ht="15" customHeight="1" x14ac:dyDescent="0.3">
      <c r="A338" s="426">
        <v>89232</v>
      </c>
      <c r="B338" s="424"/>
      <c r="C338" s="422" t="str">
        <f>CONCATENATE(H338,"-",J4)</f>
        <v xml:space="preserve">2350-strieborná </v>
      </c>
      <c r="D338" s="426">
        <v>89232</v>
      </c>
      <c r="E338" s="424" t="str">
        <f>+VLOOKUP(A338,cennik!A:G,2,FALSE)</f>
        <v>SEVROLL 207 VOD.LIŠTA HOR.2,35M STRIEBOR</v>
      </c>
      <c r="F338" s="424" t="str">
        <f>+VLOOKUP(A338,cennik!A:B,2,FALSE)</f>
        <v>SEVROLL 207 VOD.LIŠTA HOR.2,35M STRIEBOR</v>
      </c>
      <c r="G338" s="422" t="e">
        <f>+VLOOKUP(A338,#REF!,4,FALSE)</f>
        <v>#REF!</v>
      </c>
      <c r="H338" s="422">
        <v>2350</v>
      </c>
      <c r="I338" s="422" t="str">
        <f>CONCATENATE(H338,"-",J4)</f>
        <v xml:space="preserve">2350-strieborná </v>
      </c>
      <c r="Z338" s="1" t="b">
        <f t="shared" si="7"/>
        <v>1</v>
      </c>
    </row>
    <row r="339" spans="1:26" s="422" customFormat="1" ht="15" customHeight="1" x14ac:dyDescent="0.3">
      <c r="A339" s="426">
        <v>89233</v>
      </c>
      <c r="B339" s="424"/>
      <c r="C339" s="422" t="str">
        <f>CONCATENATE(H339,"-",J6)</f>
        <v>2350-oliva</v>
      </c>
      <c r="D339" s="426">
        <v>89233</v>
      </c>
      <c r="E339" s="424" t="str">
        <f>+VLOOKUP(A339,cennik!A:G,2,FALSE)</f>
        <v>SEVROLL 207 VOD.LIŠTA HOR.2,35M OLIVOVÁ</v>
      </c>
      <c r="F339" s="424" t="str">
        <f>+VLOOKUP(A339,cennik!A:B,2,FALSE)</f>
        <v>SEVROLL 207 VOD.LIŠTA HOR.2,35M OLIVOVÁ</v>
      </c>
      <c r="G339" s="422" t="e">
        <f>+VLOOKUP(A339,#REF!,4,FALSE)</f>
        <v>#REF!</v>
      </c>
      <c r="H339" s="422">
        <v>2350</v>
      </c>
      <c r="I339" s="422" t="str">
        <f>CONCATENATE(H339,"-",J6)</f>
        <v>2350-oliva</v>
      </c>
      <c r="Z339" s="1" t="b">
        <f t="shared" si="7"/>
        <v>1</v>
      </c>
    </row>
    <row r="340" spans="1:26" s="422" customFormat="1" ht="15" customHeight="1" x14ac:dyDescent="0.3">
      <c r="A340" s="426">
        <v>89252</v>
      </c>
      <c r="B340" s="424"/>
      <c r="C340" s="422" t="str">
        <f>CONCATENATE(H340,"-",J5)</f>
        <v>2350-zlatá</v>
      </c>
      <c r="D340" s="426">
        <v>89252</v>
      </c>
      <c r="E340" s="424" t="str">
        <f>+VLOOKUP(A340,cennik!A:G,2,FALSE)</f>
        <v>SEVROLL horná vodiaca lišta 2,35m zlatá</v>
      </c>
      <c r="F340" s="424" t="str">
        <f>+VLOOKUP(A340,cennik!A:B,2,FALSE)</f>
        <v>SEVROLL horná vodiaca lišta 2,35m zlatá</v>
      </c>
      <c r="G340" s="422" t="e">
        <f>+VLOOKUP(A340,#REF!,4,FALSE)</f>
        <v>#REF!</v>
      </c>
      <c r="H340" s="422">
        <v>2350</v>
      </c>
      <c r="I340" s="422" t="str">
        <f>CONCATENATE(H340,"-",J5)</f>
        <v>2350-zlatá</v>
      </c>
      <c r="Z340" s="1" t="b">
        <f t="shared" si="7"/>
        <v>1</v>
      </c>
    </row>
    <row r="341" spans="1:26" s="422" customFormat="1" ht="15" customHeight="1" x14ac:dyDescent="0.3">
      <c r="A341" s="426">
        <v>89234</v>
      </c>
      <c r="B341" s="424"/>
      <c r="C341" s="422" t="str">
        <f>CONCATENATE(H341,"-",J4)</f>
        <v xml:space="preserve">3000-strieborná </v>
      </c>
      <c r="D341" s="426">
        <v>89234</v>
      </c>
      <c r="E341" s="424" t="str">
        <f>+VLOOKUP(A341,cennik!A:G,2,FALSE)</f>
        <v>SEVROLL 208 VOD.LIŠTA HOR 3M STRIEBOR.</v>
      </c>
      <c r="F341" s="424" t="str">
        <f>+VLOOKUP(A341,cennik!A:B,2,FALSE)</f>
        <v>SEVROLL 208 VOD.LIŠTA HOR 3M STRIEBOR.</v>
      </c>
      <c r="G341" s="422" t="e">
        <f>+VLOOKUP(A341,#REF!,4,FALSE)</f>
        <v>#REF!</v>
      </c>
      <c r="H341" s="422">
        <v>3000</v>
      </c>
      <c r="I341" s="422" t="str">
        <f>CONCATENATE(H341,"-",J4)</f>
        <v xml:space="preserve">3000-strieborná </v>
      </c>
      <c r="Z341" s="1" t="b">
        <f t="shared" si="7"/>
        <v>1</v>
      </c>
    </row>
    <row r="342" spans="1:26" s="422" customFormat="1" ht="15" customHeight="1" x14ac:dyDescent="0.3">
      <c r="A342" s="426">
        <v>89235</v>
      </c>
      <c r="B342" s="424"/>
      <c r="C342" s="422" t="str">
        <f>CONCATENATE(H342,"-",J6)</f>
        <v>3000-oliva</v>
      </c>
      <c r="D342" s="426">
        <v>89235</v>
      </c>
      <c r="E342" s="424" t="str">
        <f>+VLOOKUP(A342,cennik!A:G,2,FALSE)</f>
        <v>SEVROLL 208 VOD.LIŠTA HOR 3M OLIVOVÁ</v>
      </c>
      <c r="F342" s="424" t="str">
        <f>+VLOOKUP(A342,cennik!A:B,2,FALSE)</f>
        <v>SEVROLL 208 VOD.LIŠTA HOR 3M OLIVOVÁ</v>
      </c>
      <c r="G342" s="422" t="e">
        <f>+VLOOKUP(A342,#REF!,4,FALSE)</f>
        <v>#REF!</v>
      </c>
      <c r="H342" s="422">
        <v>3000</v>
      </c>
      <c r="I342" s="422" t="str">
        <f>CONCATENATE(H342,"-",J6)</f>
        <v>3000-oliva</v>
      </c>
      <c r="Z342" s="1" t="b">
        <f t="shared" si="7"/>
        <v>1</v>
      </c>
    </row>
    <row r="343" spans="1:26" s="422" customFormat="1" ht="15" customHeight="1" x14ac:dyDescent="0.3">
      <c r="A343" s="426">
        <v>89253</v>
      </c>
      <c r="B343" s="424"/>
      <c r="C343" s="422" t="str">
        <f>CONCATENATE(H343,"-",J5)</f>
        <v>3000-zlatá</v>
      </c>
      <c r="D343" s="426">
        <v>89253</v>
      </c>
      <c r="E343" s="424" t="str">
        <f>+VLOOKUP(A343,cennik!A:G,2,FALSE)</f>
        <v>SEVROLL horná vodiaca lišta 3m zlatá</v>
      </c>
      <c r="F343" s="424" t="str">
        <f>+VLOOKUP(A343,cennik!A:B,2,FALSE)</f>
        <v>SEVROLL horná vodiaca lišta 3m zlatá</v>
      </c>
      <c r="G343" s="422" t="e">
        <f>+VLOOKUP(A343,#REF!,4,FALSE)</f>
        <v>#REF!</v>
      </c>
      <c r="H343" s="422">
        <v>3000</v>
      </c>
      <c r="I343" s="422" t="str">
        <f>CONCATENATE(H343,"-",J5)</f>
        <v>3000-zlatá</v>
      </c>
      <c r="Z343" s="1" t="b">
        <f t="shared" si="7"/>
        <v>1</v>
      </c>
    </row>
    <row r="344" spans="1:26" s="422" customFormat="1" ht="15" customHeight="1" x14ac:dyDescent="0.3">
      <c r="A344" s="426" t="s">
        <v>25</v>
      </c>
      <c r="B344" s="424"/>
      <c r="C344" s="422" t="str">
        <f>CONCATENATE(H344,"-",J4)</f>
        <v xml:space="preserve">4050-strieborná </v>
      </c>
      <c r="D344" s="426" t="s">
        <v>25</v>
      </c>
      <c r="E344" s="424" t="e">
        <f>+VLOOKUP(A344,cennik!A:G,2,FALSE)</f>
        <v>#N/A</v>
      </c>
      <c r="F344" s="424" t="e">
        <f>+VLOOKUP(A344,cennik!A:B,2,FALSE)</f>
        <v>#N/A</v>
      </c>
      <c r="G344" s="422" t="e">
        <f>+VLOOKUP(A344,#REF!,4,FALSE)</f>
        <v>#REF!</v>
      </c>
      <c r="H344" s="422">
        <v>4050</v>
      </c>
      <c r="I344" s="422" t="str">
        <f>CONCATENATE(H344,"-",J4)</f>
        <v xml:space="preserve">4050-strieborná </v>
      </c>
      <c r="Z344" s="1" t="b">
        <f t="shared" si="7"/>
        <v>1</v>
      </c>
    </row>
    <row r="345" spans="1:26" s="422" customFormat="1" ht="15" customHeight="1" x14ac:dyDescent="0.3">
      <c r="A345" s="426" t="s">
        <v>26</v>
      </c>
      <c r="B345" s="424"/>
      <c r="C345" s="422" t="str">
        <f>CONCATENATE(H345,"-",J6)</f>
        <v>4050-oliva</v>
      </c>
      <c r="D345" s="426" t="s">
        <v>26</v>
      </c>
      <c r="E345" s="424" t="e">
        <f>+VLOOKUP(A345,cennik!A:G,2,FALSE)</f>
        <v>#N/A</v>
      </c>
      <c r="F345" s="424" t="e">
        <f>+VLOOKUP(A345,cennik!A:B,2,FALSE)</f>
        <v>#N/A</v>
      </c>
      <c r="G345" s="422" t="e">
        <f>+VLOOKUP(A345,#REF!,4,FALSE)</f>
        <v>#REF!</v>
      </c>
      <c r="H345" s="422">
        <v>4050</v>
      </c>
      <c r="I345" s="422" t="str">
        <f>CONCATENATE(H345,"-",J6)</f>
        <v>4050-oliva</v>
      </c>
      <c r="Z345" s="1" t="b">
        <f t="shared" si="7"/>
        <v>1</v>
      </c>
    </row>
    <row r="346" spans="1:26" s="422" customFormat="1" ht="15" customHeight="1" x14ac:dyDescent="0.3">
      <c r="A346" s="426" t="s">
        <v>27</v>
      </c>
      <c r="B346" s="424"/>
      <c r="C346" s="422" t="str">
        <f>CONCATENATE(H346,"-",J5)</f>
        <v>4050-zlatá</v>
      </c>
      <c r="D346" s="426" t="s">
        <v>27</v>
      </c>
      <c r="E346" s="424" t="e">
        <f>+VLOOKUP(A346,cennik!A:G,2,FALSE)</f>
        <v>#N/A</v>
      </c>
      <c r="F346" s="424" t="e">
        <f>+VLOOKUP(A346,cennik!A:B,2,FALSE)</f>
        <v>#N/A</v>
      </c>
      <c r="G346" s="422" t="e">
        <f>+VLOOKUP(A346,#REF!,4,FALSE)</f>
        <v>#REF!</v>
      </c>
      <c r="H346" s="422">
        <v>4050</v>
      </c>
      <c r="I346" s="422" t="str">
        <f>CONCATENATE(H346,"-",J5)</f>
        <v>4050-zlatá</v>
      </c>
      <c r="Z346" s="1" t="b">
        <f t="shared" si="7"/>
        <v>1</v>
      </c>
    </row>
    <row r="347" spans="1:26" s="422" customFormat="1" ht="15" customHeight="1" x14ac:dyDescent="0.3">
      <c r="A347" s="426">
        <v>422043</v>
      </c>
      <c r="B347" s="424"/>
      <c r="C347" s="422" t="str">
        <f>CONCATENATE(H347,"-",J17)</f>
        <v>1700-čierna mat</v>
      </c>
      <c r="D347" s="426">
        <v>422043</v>
      </c>
      <c r="E347" s="424" t="str">
        <f>+VLOOKUP(A347,cennik!A:G,2,FALSE)</f>
        <v>SEVROLL 05301 horná vodiaca lišta 1,7m čierna mat</v>
      </c>
      <c r="F347" s="424" t="str">
        <f>+VLOOKUP(A347,cennik!A:B,2,FALSE)</f>
        <v>SEVROLL 05301 horná vodiaca lišta 1,7m čierna mat</v>
      </c>
      <c r="H347" s="422">
        <v>1700</v>
      </c>
      <c r="I347" s="422" t="str">
        <f>CONCATENATE(H347,"-",J17)</f>
        <v>1700-čierna mat</v>
      </c>
      <c r="Z347" s="1" t="b">
        <f t="shared" si="7"/>
        <v>1</v>
      </c>
    </row>
    <row r="348" spans="1:26" s="422" customFormat="1" ht="15" customHeight="1" x14ac:dyDescent="0.3">
      <c r="A348" s="426">
        <v>452608</v>
      </c>
      <c r="B348" s="424"/>
      <c r="C348" s="422" t="str">
        <f>CONCATENATE(H348,"-",J17)</f>
        <v>2350-čierna mat</v>
      </c>
      <c r="D348" s="426">
        <v>452608</v>
      </c>
      <c r="E348" s="424" t="str">
        <f>+VLOOKUP(A348,cennik!A:G,2,FALSE)</f>
        <v>SEVROLL 05302 horná vodiaca lišta 2,35m čierna mat</v>
      </c>
      <c r="F348" s="424" t="str">
        <f>+VLOOKUP(A348,cennik!A:B,2,FALSE)</f>
        <v>SEVROLL 05302 horná vodiaca lišta 2,35m čierna mat</v>
      </c>
      <c r="H348" s="422">
        <v>2350</v>
      </c>
      <c r="I348" s="422" t="str">
        <f>CONCATENATE(H348,"-",J17)</f>
        <v>2350-čierna mat</v>
      </c>
      <c r="Z348" s="1" t="b">
        <f t="shared" si="7"/>
        <v>1</v>
      </c>
    </row>
    <row r="349" spans="1:26" s="422" customFormat="1" ht="15" customHeight="1" x14ac:dyDescent="0.3">
      <c r="A349" s="426">
        <v>452734</v>
      </c>
      <c r="B349" s="424"/>
      <c r="C349" s="422" t="str">
        <f>CONCATENATE(H349,"-",J17)</f>
        <v>3000-čierna mat</v>
      </c>
      <c r="D349" s="426">
        <v>452734</v>
      </c>
      <c r="E349" s="424" t="str">
        <f>+VLOOKUP(A349,cennik!A:G,2,FALSE)</f>
        <v>SEVROLL 03605 horná vodiaca lišta 3m čierna mat</v>
      </c>
      <c r="F349" s="424" t="str">
        <f>+VLOOKUP(A349,cennik!A:B,2,FALSE)</f>
        <v>SEVROLL 03605 horná vodiaca lišta 3m čierna mat</v>
      </c>
      <c r="H349" s="422">
        <v>3000</v>
      </c>
      <c r="I349" s="422" t="str">
        <f>CONCATENATE(H349,"-",J17)</f>
        <v>3000-čierna mat</v>
      </c>
      <c r="Z349" s="1" t="b">
        <f t="shared" si="7"/>
        <v>1</v>
      </c>
    </row>
    <row r="350" spans="1:26" s="422" customFormat="1" ht="15" customHeight="1" x14ac:dyDescent="0.3">
      <c r="A350" s="426">
        <v>119414</v>
      </c>
      <c r="B350" s="424"/>
      <c r="C350" s="422" t="str">
        <f>CONCATENATE(H350,"-",J7)</f>
        <v>1700-oliva kartáčovaná</v>
      </c>
      <c r="D350" s="426">
        <v>119414</v>
      </c>
      <c r="E350" s="424" t="str">
        <f>+VLOOKUP(A350,cennik!A:G,2,FALSE)</f>
        <v>SEVROLL horná vodiaca lišta 1,7m oliva kart</v>
      </c>
      <c r="F350" s="424" t="str">
        <f>+VLOOKUP(A350,cennik!A:B,2,FALSE)</f>
        <v>SEVROLL horná vodiaca lišta 1,7m oliva kart</v>
      </c>
      <c r="G350" s="422" t="e">
        <f>+VLOOKUP(A350,#REF!,4,FALSE)</f>
        <v>#REF!</v>
      </c>
      <c r="H350" s="422">
        <v>1700</v>
      </c>
      <c r="I350" s="422" t="str">
        <f>CONCATENATE(H350,"-",J7)</f>
        <v>1700-oliva kartáčovaná</v>
      </c>
      <c r="Z350" s="1" t="b">
        <f t="shared" si="7"/>
        <v>1</v>
      </c>
    </row>
    <row r="351" spans="1:26" s="422" customFormat="1" ht="15" customHeight="1" x14ac:dyDescent="0.3">
      <c r="A351" s="426">
        <v>119415</v>
      </c>
      <c r="B351" s="424"/>
      <c r="C351" s="422" t="str">
        <f>CONCATENATE(H351,"-",J7)</f>
        <v>2350-oliva kartáčovaná</v>
      </c>
      <c r="D351" s="426">
        <v>119415</v>
      </c>
      <c r="E351" s="424" t="str">
        <f>+VLOOKUP(A351,cennik!A:G,2,FALSE)</f>
        <v>SEVROLL horná vodiaca lišta 2,35m oliva kart</v>
      </c>
      <c r="F351" s="424" t="str">
        <f>+VLOOKUP(A351,cennik!A:B,2,FALSE)</f>
        <v>SEVROLL horná vodiaca lišta 2,35m oliva kart</v>
      </c>
      <c r="G351" s="422" t="e">
        <f>+VLOOKUP(A351,#REF!,4,FALSE)</f>
        <v>#REF!</v>
      </c>
      <c r="H351" s="422">
        <v>2350</v>
      </c>
      <c r="I351" s="422" t="str">
        <f>CONCATENATE(H351,"-",J7)</f>
        <v>2350-oliva kartáčovaná</v>
      </c>
      <c r="Z351" s="1" t="b">
        <f t="shared" si="7"/>
        <v>1</v>
      </c>
    </row>
    <row r="352" spans="1:26" s="422" customFormat="1" ht="15" customHeight="1" x14ac:dyDescent="0.3">
      <c r="A352" s="426">
        <v>119416</v>
      </c>
      <c r="B352" s="424"/>
      <c r="C352" s="422" t="str">
        <f>CONCATENATE(H352,"-",J7)</f>
        <v>3000-oliva kartáčovaná</v>
      </c>
      <c r="D352" s="426">
        <v>119416</v>
      </c>
      <c r="E352" s="424" t="str">
        <f>+VLOOKUP(A352,cennik!A:G,2,FALSE)</f>
        <v>SEVROLL horná vodiaca lišta 3m oliva kartáč.</v>
      </c>
      <c r="F352" s="424" t="str">
        <f>+VLOOKUP(A352,cennik!A:B,2,FALSE)</f>
        <v>SEVROLL horná vodiaca lišta 3m oliva kartáč.</v>
      </c>
      <c r="G352" s="422" t="e">
        <f>+VLOOKUP(A352,#REF!,4,FALSE)</f>
        <v>#REF!</v>
      </c>
      <c r="H352" s="422">
        <v>3000</v>
      </c>
      <c r="I352" s="422" t="str">
        <f>CONCATENATE(H352,"-",J7)</f>
        <v>3000-oliva kartáčovaná</v>
      </c>
      <c r="Z352" s="1" t="b">
        <f t="shared" si="7"/>
        <v>1</v>
      </c>
    </row>
    <row r="353" spans="1:26" s="422" customFormat="1" ht="15" customHeight="1" x14ac:dyDescent="0.3">
      <c r="A353" s="196">
        <v>526496</v>
      </c>
      <c r="B353" s="424"/>
      <c r="C353" s="422" t="str">
        <f>CONCATENATE(H353,"-",J22)</f>
        <v>1700-čierna štrukturálna</v>
      </c>
      <c r="D353" s="196">
        <v>526496</v>
      </c>
      <c r="E353" s="424" t="str">
        <f>+VLOOKUP(A353,cennik!A:G,2,FALSE)</f>
        <v>SEVROLL 06441 horná vodiaca lišta 1,7m čierna štrukturálna</v>
      </c>
      <c r="F353" s="424" t="str">
        <f>+VLOOKUP(A353,cennik!A:B,2,FALSE)</f>
        <v>SEVROLL 06441 horná vodiaca lišta 1,7m čierna štrukturálna</v>
      </c>
      <c r="H353" s="422">
        <v>1700</v>
      </c>
      <c r="I353" s="422" t="str">
        <f>CONCATENATE(H353,"-",J22)</f>
        <v>1700-čierna štrukturálna</v>
      </c>
      <c r="Z353" s="1"/>
    </row>
    <row r="354" spans="1:26" s="422" customFormat="1" ht="15" customHeight="1" x14ac:dyDescent="0.3">
      <c r="A354" s="196">
        <v>526497</v>
      </c>
      <c r="B354" s="424"/>
      <c r="C354" s="422" t="str">
        <f>CONCATENATE(H354,"-",J22)</f>
        <v>2350-čierna štrukturálna</v>
      </c>
      <c r="D354" s="196">
        <v>526497</v>
      </c>
      <c r="E354" s="424" t="str">
        <f>+VLOOKUP(A354,cennik!A:G,2,FALSE)</f>
        <v>SEVROLL 06442 horná vodiaca lišta 2,35m čierna štrukturálna</v>
      </c>
      <c r="F354" s="424" t="str">
        <f>+VLOOKUP(A354,cennik!A:B,2,FALSE)</f>
        <v>SEVROLL 06442 horná vodiaca lišta 2,35m čierna štrukturálna</v>
      </c>
      <c r="H354" s="422">
        <v>2350</v>
      </c>
      <c r="I354" s="422" t="str">
        <f>CONCATENATE(H354,"-",J22)</f>
        <v>2350-čierna štrukturálna</v>
      </c>
      <c r="Z354" s="1"/>
    </row>
    <row r="355" spans="1:26" s="422" customFormat="1" ht="15" customHeight="1" x14ac:dyDescent="0.3">
      <c r="A355" s="196">
        <v>526500</v>
      </c>
      <c r="B355" s="424"/>
      <c r="C355" s="422" t="str">
        <f>CONCATENATE(H355,"-",J22)</f>
        <v>3000-čierna štrukturálna</v>
      </c>
      <c r="D355" s="196">
        <v>526500</v>
      </c>
      <c r="E355" s="424" t="str">
        <f>+VLOOKUP(A355,cennik!A:G,2,FALSE)</f>
        <v>SEVROLL 06124 horná vodiaca lišta 3m čierna štrukturálna</v>
      </c>
      <c r="F355" s="424" t="str">
        <f>+VLOOKUP(A355,cennik!A:B,2,FALSE)</f>
        <v>SEVROLL 06124 horná vodiaca lišta 3m čierna štrukturálna</v>
      </c>
      <c r="H355" s="422">
        <v>3000</v>
      </c>
      <c r="I355" s="422" t="str">
        <f>CONCATENATE(H355,"-",J22)</f>
        <v>3000-čierna štrukturálna</v>
      </c>
      <c r="Z355" s="1"/>
    </row>
    <row r="356" spans="1:26" s="422" customFormat="1" ht="15" customHeight="1" x14ac:dyDescent="0.3">
      <c r="A356" s="426">
        <v>205103</v>
      </c>
      <c r="B356" s="424"/>
      <c r="C356" s="422" t="str">
        <f>CONCATENATE(H356,"-",J8)</f>
        <v>1700-kart. tm. oliva</v>
      </c>
      <c r="D356" s="426">
        <v>205103</v>
      </c>
      <c r="E356" s="424" t="str">
        <f>+VLOOKUP(A356,cennik!A:G,2,FALSE)</f>
        <v>SEVROLL 03100 horná vodiaca lišta 1,7m oliva tmavá kartáčovaná</v>
      </c>
      <c r="F356" s="424" t="str">
        <f>+VLOOKUP(A356,cennik!A:B,2,FALSE)</f>
        <v>SEVROLL 03100 horná vodiaca lišta 1,7m oliva tmavá kartáčovaná</v>
      </c>
      <c r="G356" s="422" t="e">
        <f>+VLOOKUP(A356,#REF!,4,FALSE)</f>
        <v>#REF!</v>
      </c>
      <c r="H356" s="422">
        <v>1700</v>
      </c>
      <c r="I356" s="422" t="str">
        <f>CONCATENATE(H356,"-",J8)</f>
        <v>1700-kart. tm. oliva</v>
      </c>
      <c r="Z356" s="1" t="b">
        <f t="shared" si="7"/>
        <v>1</v>
      </c>
    </row>
    <row r="357" spans="1:26" s="422" customFormat="1" ht="15" customHeight="1" x14ac:dyDescent="0.3">
      <c r="A357" s="426">
        <v>205156</v>
      </c>
      <c r="B357" s="424"/>
      <c r="C357" s="422" t="str">
        <f>CONCATENATE(H357,"-",J8)</f>
        <v>2350-kart. tm. oliva</v>
      </c>
      <c r="D357" s="426">
        <v>205156</v>
      </c>
      <c r="E357" s="424" t="str">
        <f>+VLOOKUP(A357,cennik!A:G,2,FALSE)</f>
        <v>SEVROLL 03101 horná vodiaca lišta 2,35m oliva tmavá kartáčovaná</v>
      </c>
      <c r="F357" s="424" t="str">
        <f>+VLOOKUP(A357,cennik!A:B,2,FALSE)</f>
        <v>SEVROLL 03101 horná vodiaca lišta 2,35m oliva tmavá kartáčovaná</v>
      </c>
      <c r="G357" s="422" t="e">
        <f>+VLOOKUP(A357,#REF!,4,FALSE)</f>
        <v>#REF!</v>
      </c>
      <c r="H357" s="422">
        <v>2350</v>
      </c>
      <c r="I357" s="422" t="str">
        <f>CONCATENATE(H357,"-",J8)</f>
        <v>2350-kart. tm. oliva</v>
      </c>
      <c r="Z357" s="1" t="b">
        <f t="shared" si="7"/>
        <v>1</v>
      </c>
    </row>
    <row r="358" spans="1:26" s="422" customFormat="1" ht="15" customHeight="1" x14ac:dyDescent="0.3">
      <c r="A358" s="426">
        <v>205158</v>
      </c>
      <c r="B358" s="424"/>
      <c r="C358" s="422" t="str">
        <f>CONCATENATE(H358,"-",J8)</f>
        <v>3000-kart. tm. oliva</v>
      </c>
      <c r="D358" s="426">
        <v>205158</v>
      </c>
      <c r="E358" s="424" t="str">
        <f>+VLOOKUP(A358,cennik!A:G,2,FALSE)</f>
        <v>SEVROLL 03102 horná vodiaca lišta 3m oliva tmavá kartáčovaná</v>
      </c>
      <c r="F358" s="424" t="str">
        <f>+VLOOKUP(A358,cennik!A:B,2,FALSE)</f>
        <v>SEVROLL 03102 horná vodiaca lišta 3m oliva tmavá kartáčovaná</v>
      </c>
      <c r="G358" s="422" t="e">
        <f>+VLOOKUP(A358,#REF!,4,FALSE)</f>
        <v>#REF!</v>
      </c>
      <c r="H358" s="422">
        <v>3000</v>
      </c>
      <c r="I358" s="422" t="str">
        <f>CONCATENATE(H358,"-",J8)</f>
        <v>3000-kart. tm. oliva</v>
      </c>
      <c r="Z358" s="1" t="b">
        <f t="shared" si="7"/>
        <v>1</v>
      </c>
    </row>
    <row r="359" spans="1:26" s="422" customFormat="1" ht="15" customHeight="1" x14ac:dyDescent="0.3">
      <c r="A359" s="426">
        <v>205105</v>
      </c>
      <c r="B359" s="424"/>
      <c r="C359" s="422" t="str">
        <f>CONCATENATE(H359,"-",J9)</f>
        <v>1700-kart. čierna</v>
      </c>
      <c r="D359" s="426">
        <v>205105</v>
      </c>
      <c r="E359" s="424" t="str">
        <f>+VLOOKUP(A359,cennik!A:G,2,FALSE)</f>
        <v>SEVROLL horná vodiaca lišta 1,7m čierna kartáčovaná</v>
      </c>
      <c r="F359" s="424" t="str">
        <f>+VLOOKUP(A359,cennik!A:B,2,FALSE)</f>
        <v>SEVROLL horná vodiaca lišta 1,7m čierna kartáčovaná</v>
      </c>
      <c r="H359" s="422">
        <v>1700</v>
      </c>
      <c r="I359" s="422" t="str">
        <f>CONCATENATE(H359,"-",J9)</f>
        <v>1700-kart. čierna</v>
      </c>
      <c r="Z359" s="1" t="b">
        <f t="shared" si="7"/>
        <v>1</v>
      </c>
    </row>
    <row r="360" spans="1:26" s="422" customFormat="1" ht="15" customHeight="1" x14ac:dyDescent="0.3">
      <c r="A360" s="426">
        <v>205157</v>
      </c>
      <c r="B360" s="424"/>
      <c r="C360" s="422" t="str">
        <f>CONCATENATE(H360,"-",J9)</f>
        <v>2350-kart. čierna</v>
      </c>
      <c r="D360" s="426">
        <v>205157</v>
      </c>
      <c r="E360" s="424" t="str">
        <f>+VLOOKUP(A360,cennik!A:G,2,FALSE)</f>
        <v>SEVROLL VODIACA LIŠTA 2,35M čierna KARTÁČ</v>
      </c>
      <c r="F360" s="424" t="str">
        <f>+VLOOKUP(A360,cennik!A:B,2,FALSE)</f>
        <v>SEVROLL VODIACA LIŠTA 2,35M čierna KARTÁČ</v>
      </c>
      <c r="H360" s="422">
        <v>2350</v>
      </c>
      <c r="I360" s="422" t="str">
        <f>CONCATENATE(H360,"-",J9)</f>
        <v>2350-kart. čierna</v>
      </c>
      <c r="Z360" s="1" t="b">
        <f t="shared" si="7"/>
        <v>1</v>
      </c>
    </row>
    <row r="361" spans="1:26" s="422" customFormat="1" ht="15" customHeight="1" x14ac:dyDescent="0.3">
      <c r="A361" s="426">
        <v>205159</v>
      </c>
      <c r="B361" s="424"/>
      <c r="C361" s="422" t="str">
        <f>CONCATENATE(H361,"-",J9)</f>
        <v>3000-kart. čierna</v>
      </c>
      <c r="D361" s="426">
        <v>205159</v>
      </c>
      <c r="E361" s="424" t="str">
        <f>+VLOOKUP(A361,cennik!A:G,2,FALSE)</f>
        <v>SEVROLL VODIACA LIŠTA 3M čierna KARTÁČ.</v>
      </c>
      <c r="F361" s="424" t="str">
        <f>+VLOOKUP(A361,cennik!A:B,2,FALSE)</f>
        <v>SEVROLL VODIACA LIŠTA 3M čierna KARTÁČ.</v>
      </c>
      <c r="H361" s="422">
        <v>3000</v>
      </c>
      <c r="I361" s="422" t="str">
        <f>CONCATENATE(H361,"-",J9)</f>
        <v>3000-kart. čierna</v>
      </c>
      <c r="Z361" s="1" t="b">
        <f t="shared" si="7"/>
        <v>1</v>
      </c>
    </row>
    <row r="362" spans="1:26" s="422" customFormat="1" ht="15" customHeight="1" x14ac:dyDescent="0.3">
      <c r="A362" s="426">
        <v>276737</v>
      </c>
      <c r="B362" s="424"/>
      <c r="C362" s="422" t="str">
        <f>CONCATENATE(H362,"-",J15)</f>
        <v>1700-biela lesk</v>
      </c>
      <c r="D362" s="426">
        <v>276737</v>
      </c>
      <c r="E362" s="424" t="str">
        <f>+VLOOKUP(A362,cennik!A:G,2,FALSE)</f>
        <v>SEVROLL 04064 horná vodiaca lišta 1,7m biela lesk</v>
      </c>
      <c r="F362" s="424" t="str">
        <f>+VLOOKUP(A362,cennik!A:B,2,FALSE)</f>
        <v>SEVROLL 04064 horná vodiaca lišta 1,7m biela lesk</v>
      </c>
      <c r="H362" s="422">
        <v>1700</v>
      </c>
      <c r="I362" s="422" t="str">
        <f>CONCATENATE(H362,"-",J15)</f>
        <v>1700-biela lesk</v>
      </c>
      <c r="Z362" s="1" t="b">
        <f t="shared" si="7"/>
        <v>1</v>
      </c>
    </row>
    <row r="363" spans="1:26" s="422" customFormat="1" ht="15" customHeight="1" x14ac:dyDescent="0.3">
      <c r="A363" s="426">
        <v>267944</v>
      </c>
      <c r="B363" s="424"/>
      <c r="C363" s="422" t="str">
        <f>CONCATENATE(H363,"-",J15)</f>
        <v>2350-biela lesk</v>
      </c>
      <c r="D363" s="426">
        <v>267944</v>
      </c>
      <c r="E363" s="424" t="str">
        <f>+VLOOKUP(A363,cennik!A:G,2,FALSE)</f>
        <v>SEVROLL 04065 horná vodiaca lišta 2,35m biela lesk</v>
      </c>
      <c r="F363" s="424" t="str">
        <f>+VLOOKUP(A363,cennik!A:B,2,FALSE)</f>
        <v>SEVROLL 04065 horná vodiaca lišta 2,35m biela lesk</v>
      </c>
      <c r="H363" s="422">
        <v>2350</v>
      </c>
      <c r="I363" s="422" t="str">
        <f>CONCATENATE(H363,"-",J15)</f>
        <v>2350-biela lesk</v>
      </c>
      <c r="Z363" s="1" t="b">
        <f t="shared" si="7"/>
        <v>1</v>
      </c>
    </row>
    <row r="364" spans="1:26" s="422" customFormat="1" ht="15" customHeight="1" x14ac:dyDescent="0.3">
      <c r="A364" s="426">
        <v>265066</v>
      </c>
      <c r="B364" s="424"/>
      <c r="C364" s="422" t="str">
        <f>CONCATENATE(H364,"-",J15)</f>
        <v>3000-biela lesk</v>
      </c>
      <c r="D364" s="426">
        <v>265066</v>
      </c>
      <c r="E364" s="424" t="str">
        <f>+VLOOKUP(A364,cennik!A:G,2,FALSE)</f>
        <v>SEVROLL 00169 horná vodiaca lišta 3m biela lesk</v>
      </c>
      <c r="F364" s="424" t="str">
        <f>+VLOOKUP(A364,cennik!A:B,2,FALSE)</f>
        <v>SEVROLL 00169 horná vodiaca lišta 3m biela lesk</v>
      </c>
      <c r="H364" s="422">
        <v>3000</v>
      </c>
      <c r="I364" s="422" t="str">
        <f>CONCATENATE(H364,"-",J15)</f>
        <v>3000-biela lesk</v>
      </c>
      <c r="Z364" s="1" t="b">
        <f t="shared" si="7"/>
        <v>1</v>
      </c>
    </row>
    <row r="365" spans="1:26" s="422" customFormat="1" ht="15" customHeight="1" x14ac:dyDescent="0.3">
      <c r="A365" s="426">
        <v>278058</v>
      </c>
      <c r="B365" s="424"/>
      <c r="C365" s="422" t="str">
        <f>CONCATENATE(H365,"-",J4)</f>
        <v xml:space="preserve">3000-strieborná </v>
      </c>
      <c r="D365" s="426">
        <v>278058</v>
      </c>
      <c r="E365" s="424" t="str">
        <f>+VLOOKUP(A365,cennik!A:G,2,FALSE)</f>
        <v>SEVROLL 04096 Pax horná vodiaca lišta 3m strieborná</v>
      </c>
      <c r="F365" s="424" t="str">
        <f>+VLOOKUP(A365,cennik!A:B,2,FALSE)</f>
        <v>SEVROLL 04096 Pax horná vodiaca lišta 3m strieborná</v>
      </c>
      <c r="H365" s="422">
        <v>3000</v>
      </c>
      <c r="I365" s="422" t="str">
        <f>CONCATENATE(H365,"-",J4)</f>
        <v xml:space="preserve">3000-strieborná </v>
      </c>
      <c r="Z365" s="1" t="b">
        <f t="shared" ref="Z365:Z437" si="8">A365=D365</f>
        <v>1</v>
      </c>
    </row>
    <row r="366" spans="1:26" s="422" customFormat="1" ht="15" customHeight="1" x14ac:dyDescent="0.3">
      <c r="A366" s="426">
        <v>284525</v>
      </c>
      <c r="B366" s="424"/>
      <c r="C366" s="422" t="str">
        <f>CONCATENATE(H366,"-",J15)</f>
        <v>3000-biela lesk</v>
      </c>
      <c r="D366" s="426">
        <v>284525</v>
      </c>
      <c r="E366" s="424" t="str">
        <f>+VLOOKUP(A366,cennik!A:G,2,FALSE)</f>
        <v>SEVROLL 04100 Pax horná vodiaca lišta 3m biela lesk</v>
      </c>
      <c r="F366" s="424" t="str">
        <f>+VLOOKUP(A366,cennik!A:B,2,FALSE)</f>
        <v>SEVROLL 04100 Pax horná vodiaca lišta 3m biela lesk</v>
      </c>
      <c r="H366" s="422">
        <v>3000</v>
      </c>
      <c r="I366" s="422" t="str">
        <f>CONCATENATE(H366,"-",J15)</f>
        <v>3000-biela lesk</v>
      </c>
      <c r="Z366" s="1" t="b">
        <f t="shared" si="8"/>
        <v>1</v>
      </c>
    </row>
    <row r="367" spans="1:26" s="422" customFormat="1" ht="15" customHeight="1" x14ac:dyDescent="0.3">
      <c r="A367" s="423">
        <v>405377</v>
      </c>
      <c r="C367" s="422" t="str">
        <f>CONCATENATE(H367,"-",J16)</f>
        <v>1700-čierna lesk</v>
      </c>
      <c r="D367" s="423">
        <v>405377</v>
      </c>
      <c r="E367" s="424" t="str">
        <f>+VLOOKUP(A367,cennik!A:G,2,FALSE)</f>
        <v>SEVROLL 05149 horná vodiaca lišta 1,7m čierna lesk</v>
      </c>
      <c r="F367" s="424" t="str">
        <f>+VLOOKUP(A367,cennik!A:B,2,FALSE)</f>
        <v>SEVROLL 05149 horná vodiaca lišta 1,7m čierna lesk</v>
      </c>
      <c r="H367" s="422">
        <v>1700</v>
      </c>
      <c r="I367" s="422" t="str">
        <f>CONCATENATE(H367,"-",J16)</f>
        <v>1700-čierna lesk</v>
      </c>
      <c r="Z367" s="1" t="b">
        <f t="shared" si="8"/>
        <v>1</v>
      </c>
    </row>
    <row r="368" spans="1:26" s="422" customFormat="1" ht="15" customHeight="1" x14ac:dyDescent="0.3">
      <c r="A368" s="423">
        <v>405379</v>
      </c>
      <c r="C368" s="422" t="str">
        <f>CONCATENATE(H368,"-",J16)</f>
        <v>2350-čierna lesk</v>
      </c>
      <c r="D368" s="423">
        <v>405379</v>
      </c>
      <c r="E368" s="424" t="str">
        <f>+VLOOKUP(A368,cennik!A:G,2,FALSE)</f>
        <v>SEVROLL 05150 horná vodiaca lišta 2,35m černa lesk</v>
      </c>
      <c r="F368" s="424" t="str">
        <f>+VLOOKUP(A368,cennik!A:B,2,FALSE)</f>
        <v>SEVROLL 05150 horná vodiaca lišta 2,35m černa lesk</v>
      </c>
      <c r="H368" s="422">
        <v>2350</v>
      </c>
      <c r="I368" s="422" t="str">
        <f>CONCATENATE(H368,"-",J16)</f>
        <v>2350-čierna lesk</v>
      </c>
      <c r="Z368" s="1" t="b">
        <f t="shared" si="8"/>
        <v>1</v>
      </c>
    </row>
    <row r="369" spans="1:26" s="422" customFormat="1" ht="15" customHeight="1" x14ac:dyDescent="0.3">
      <c r="A369" s="423">
        <v>405382</v>
      </c>
      <c r="C369" s="422" t="str">
        <f>CONCATENATE(H369,"-",J16)</f>
        <v>3000-čierna lesk</v>
      </c>
      <c r="D369" s="423">
        <v>405382</v>
      </c>
      <c r="E369" s="424" t="str">
        <f>+VLOOKUP(A369,cennik!A:G,2,FALSE)</f>
        <v>SEVROLL 05184 horná vodiaca lišta 3m čierna lesk</v>
      </c>
      <c r="F369" s="424" t="str">
        <f>+VLOOKUP(A369,cennik!A:B,2,FALSE)</f>
        <v>SEVROLL 05184 horná vodiaca lišta 3m čierna lesk</v>
      </c>
      <c r="H369" s="422">
        <v>3000</v>
      </c>
      <c r="I369" s="422" t="str">
        <f>CONCATENATE(H369,"-",J16)</f>
        <v>3000-čierna lesk</v>
      </c>
      <c r="Z369" s="1" t="b">
        <f t="shared" si="8"/>
        <v>1</v>
      </c>
    </row>
    <row r="370" spans="1:26" s="422" customFormat="1" ht="15" customHeight="1" x14ac:dyDescent="0.3">
      <c r="A370" s="423">
        <v>495477</v>
      </c>
      <c r="C370" s="422" t="str">
        <f>CONCATENATE(H370,"-",J12)</f>
        <v>1700-grafit</v>
      </c>
      <c r="D370" s="423">
        <v>495477</v>
      </c>
      <c r="E370" s="424" t="str">
        <f>+VLOOKUP(A370,cennik!A:G,2,FALSE)</f>
        <v>SEVROLL 06039 horná vodiaca lišta 1,7m grafit</v>
      </c>
      <c r="F370" s="424" t="str">
        <f>+VLOOKUP(A370,cennik!A:B,2,FALSE)</f>
        <v>SEVROLL 06039 horná vodiaca lišta 1,7m grafit</v>
      </c>
      <c r="H370" s="422">
        <v>1700</v>
      </c>
      <c r="I370" s="422" t="str">
        <f>CONCATENATE(H370,"-",J12)</f>
        <v>1700-grafit</v>
      </c>
      <c r="Z370" s="1" t="b">
        <f t="shared" si="8"/>
        <v>1</v>
      </c>
    </row>
    <row r="371" spans="1:26" s="422" customFormat="1" ht="15" customHeight="1" x14ac:dyDescent="0.3">
      <c r="A371" s="423">
        <v>495616</v>
      </c>
      <c r="C371" s="422" t="str">
        <f>CONCATENATE(H371,"-",J12)</f>
        <v>2350-grafit</v>
      </c>
      <c r="D371" s="423">
        <v>495616</v>
      </c>
      <c r="E371" s="424" t="str">
        <f>+VLOOKUP(A371,cennik!A:G,2,FALSE)</f>
        <v>SEVROLL 06040 horná vod.lišta 2,35m grafit</v>
      </c>
      <c r="F371" s="424" t="str">
        <f>+VLOOKUP(A371,cennik!A:B,2,FALSE)</f>
        <v>SEVROLL 06040 horná vod.lišta 2,35m grafit</v>
      </c>
      <c r="H371" s="422">
        <v>2350</v>
      </c>
      <c r="I371" s="422" t="str">
        <f>CONCATENATE(H371,"-",J12)</f>
        <v>2350-grafit</v>
      </c>
      <c r="Z371" s="1" t="b">
        <f t="shared" si="8"/>
        <v>1</v>
      </c>
    </row>
    <row r="372" spans="1:26" s="422" customFormat="1" ht="15" customHeight="1" x14ac:dyDescent="0.3">
      <c r="A372" s="423">
        <v>495617</v>
      </c>
      <c r="C372" s="422" t="str">
        <f>CONCATENATE(H372,"-",J12)</f>
        <v>3000-grafit</v>
      </c>
      <c r="D372" s="423">
        <v>495617</v>
      </c>
      <c r="E372" s="424" t="str">
        <f>+VLOOKUP(A372,cennik!A:G,2,FALSE)</f>
        <v>SEVROLL 05966 horná vodiaca lišta 3m grafit</v>
      </c>
      <c r="F372" s="424" t="str">
        <f>+VLOOKUP(A372,cennik!A:B,2,FALSE)</f>
        <v>SEVROLL 05966 horná vodiaca lišta 3m grafit</v>
      </c>
      <c r="H372" s="422">
        <v>3000</v>
      </c>
      <c r="I372" s="422" t="str">
        <f>CONCATENATE(H372,"-",J12)</f>
        <v>3000-grafit</v>
      </c>
      <c r="Z372" s="1" t="b">
        <f t="shared" si="8"/>
        <v>1</v>
      </c>
    </row>
    <row r="373" spans="1:26" s="422" customFormat="1" ht="15" customHeight="1" x14ac:dyDescent="0.3">
      <c r="A373" s="423">
        <v>497670</v>
      </c>
      <c r="C373" s="422" t="str">
        <f>CONCATENATE(H373,"-",J18)</f>
        <v>1700-biela mat</v>
      </c>
      <c r="D373" s="423">
        <v>497670</v>
      </c>
      <c r="E373" s="424" t="str">
        <f>+VLOOKUP(A373,cennik!A:G,2,FALSE)</f>
        <v>SEVROLL 05942 horná vodiaca lišta 1,7m biela mat</v>
      </c>
      <c r="F373" s="424" t="str">
        <f>+VLOOKUP(A373,cennik!A:B,2,FALSE)</f>
        <v>SEVROLL 05942 horná vodiaca lišta 1,7m biela mat</v>
      </c>
      <c r="H373" s="422">
        <v>1700</v>
      </c>
      <c r="I373" s="422" t="str">
        <f>CONCATENATE(H373,"-",J18)</f>
        <v>1700-biela mat</v>
      </c>
      <c r="Z373" s="1"/>
    </row>
    <row r="374" spans="1:26" s="422" customFormat="1" ht="15" customHeight="1" x14ac:dyDescent="0.3">
      <c r="A374" s="423">
        <v>497672</v>
      </c>
      <c r="C374" s="422" t="str">
        <f>CONCATENATE(H374,"-",J18)</f>
        <v>2350-biela mat</v>
      </c>
      <c r="D374" s="423">
        <v>497672</v>
      </c>
      <c r="E374" s="424" t="str">
        <f>+VLOOKUP(A374,cennik!A:G,2,FALSE)</f>
        <v>SEVROLL 05943 horná vodiaca lišta 2,35m biela mat</v>
      </c>
      <c r="F374" s="424" t="str">
        <f>+VLOOKUP(A374,cennik!A:B,2,FALSE)</f>
        <v>SEVROLL 05943 horná vodiaca lišta 2,35m biela mat</v>
      </c>
      <c r="H374" s="422">
        <v>2350</v>
      </c>
      <c r="I374" s="422" t="str">
        <f>CONCATENATE(H374,"-",J18)</f>
        <v>2350-biela mat</v>
      </c>
      <c r="Z374" s="1"/>
    </row>
    <row r="375" spans="1:26" s="422" customFormat="1" ht="15" customHeight="1" x14ac:dyDescent="0.3">
      <c r="A375" s="423">
        <v>497673</v>
      </c>
      <c r="C375" s="422" t="str">
        <f>CONCATENATE(H375,"-",J18)</f>
        <v>3000-biela mat</v>
      </c>
      <c r="D375" s="423">
        <v>497673</v>
      </c>
      <c r="E375" s="424" t="str">
        <f>+VLOOKUP(A375,cennik!A:G,2,FALSE)</f>
        <v>SEVROLL 00169 horná vodiaca lišta 3m biela mat</v>
      </c>
      <c r="F375" s="424" t="str">
        <f>+VLOOKUP(A375,cennik!A:B,2,FALSE)</f>
        <v>SEVROLL 00169 horná vodiaca lišta 3m biela mat</v>
      </c>
      <c r="H375" s="422">
        <v>3000</v>
      </c>
      <c r="I375" s="422" t="str">
        <f>CONCATENATE(H375,"-",J18)</f>
        <v>3000-biela mat</v>
      </c>
      <c r="Z375" s="1"/>
    </row>
    <row r="376" spans="1:26" s="422" customFormat="1" ht="15" customHeight="1" x14ac:dyDescent="0.3">
      <c r="A376" s="422">
        <v>422043</v>
      </c>
      <c r="C376" s="422" t="str">
        <f>CONCATENATE(H376,"-",J17)</f>
        <v>1700-čierna mat</v>
      </c>
      <c r="D376" s="422">
        <v>422043</v>
      </c>
      <c r="E376" s="424" t="str">
        <f>+VLOOKUP(A376,cennik!A:G,2,FALSE)</f>
        <v>SEVROLL 05301 horná vodiaca lišta 1,7m čierna mat</v>
      </c>
      <c r="F376" s="424" t="str">
        <f>+VLOOKUP(A376,cennik!A:B,2,FALSE)</f>
        <v>SEVROLL 05301 horná vodiaca lišta 1,7m čierna mat</v>
      </c>
      <c r="H376" s="422">
        <v>1700</v>
      </c>
      <c r="I376" s="422" t="str">
        <f>CONCATENATE(H376,"-",J17)</f>
        <v>1700-čierna mat</v>
      </c>
      <c r="Z376" s="1" t="b">
        <f t="shared" si="8"/>
        <v>1</v>
      </c>
    </row>
    <row r="377" spans="1:26" s="422" customFormat="1" ht="15" customHeight="1" x14ac:dyDescent="0.3">
      <c r="A377" s="422">
        <v>452608</v>
      </c>
      <c r="C377" s="422" t="str">
        <f>CONCATENATE(H377,"-",J17)</f>
        <v>2350-čierna mat</v>
      </c>
      <c r="D377" s="422">
        <v>452608</v>
      </c>
      <c r="E377" s="424" t="str">
        <f>+VLOOKUP(A377,cennik!A:G,2,FALSE)</f>
        <v>SEVROLL 05302 horná vodiaca lišta 2,35m čierna mat</v>
      </c>
      <c r="F377" s="424" t="str">
        <f>+VLOOKUP(A377,cennik!A:B,2,FALSE)</f>
        <v>SEVROLL 05302 horná vodiaca lišta 2,35m čierna mat</v>
      </c>
      <c r="H377" s="422">
        <v>2350</v>
      </c>
      <c r="I377" s="422" t="str">
        <f>CONCATENATE(H377,"-",J17)</f>
        <v>2350-čierna mat</v>
      </c>
      <c r="Z377" s="1" t="b">
        <f t="shared" si="8"/>
        <v>1</v>
      </c>
    </row>
    <row r="378" spans="1:26" ht="15" customHeight="1" x14ac:dyDescent="0.3">
      <c r="A378" s="423">
        <v>452734</v>
      </c>
      <c r="B378" s="422"/>
      <c r="C378" s="422" t="str">
        <f>CONCATENATE(H378,"-",J17)</f>
        <v>3000-čierna mat</v>
      </c>
      <c r="D378" s="423">
        <v>452734</v>
      </c>
      <c r="E378" s="424" t="str">
        <f>+VLOOKUP(A378,cennik!A:G,2,FALSE)</f>
        <v>SEVROLL 03605 horná vodiaca lišta 3m čierna mat</v>
      </c>
      <c r="F378" s="424" t="str">
        <f>+VLOOKUP(A378,cennik!A:B,2,FALSE)</f>
        <v>SEVROLL 03605 horná vodiaca lišta 3m čierna mat</v>
      </c>
      <c r="G378" s="422"/>
      <c r="H378" s="422">
        <v>3000</v>
      </c>
      <c r="I378" s="422" t="str">
        <f>CONCATENATE(H378,"-",J17)</f>
        <v>3000-čierna mat</v>
      </c>
      <c r="Z378" s="1" t="b">
        <f t="shared" si="8"/>
        <v>1</v>
      </c>
    </row>
    <row r="379" spans="1:26" ht="15" customHeight="1" x14ac:dyDescent="0.3">
      <c r="A379" s="196">
        <v>526496</v>
      </c>
      <c r="B379" s="422"/>
      <c r="C379" s="422" t="str">
        <f>CONCATENATE(H379,"-",J22)</f>
        <v>1700-čierna štrukturálna</v>
      </c>
      <c r="D379" s="196">
        <v>526496</v>
      </c>
      <c r="E379" s="424" t="str">
        <f>+VLOOKUP(A379,cennik!A:G,2,FALSE)</f>
        <v>SEVROLL 06441 horná vodiaca lišta 1,7m čierna štrukturálna</v>
      </c>
      <c r="F379" s="424" t="str">
        <f>+VLOOKUP(A379,cennik!A:B,2,FALSE)</f>
        <v>SEVROLL 06441 horná vodiaca lišta 1,7m čierna štrukturálna</v>
      </c>
      <c r="G379" s="422"/>
      <c r="H379" s="422">
        <v>1700</v>
      </c>
      <c r="I379" s="422" t="str">
        <f>CONCATENATE(H379,"-",J22)</f>
        <v>1700-čierna štrukturálna</v>
      </c>
    </row>
    <row r="380" spans="1:26" ht="15" customHeight="1" x14ac:dyDescent="0.3">
      <c r="A380" s="196">
        <v>526497</v>
      </c>
      <c r="B380" s="422"/>
      <c r="C380" s="422" t="str">
        <f>CONCATENATE(H380,"-",J22)</f>
        <v>2350-čierna štrukturálna</v>
      </c>
      <c r="D380" s="196">
        <v>526497</v>
      </c>
      <c r="E380" s="424" t="str">
        <f>+VLOOKUP(A380,cennik!A:G,2,FALSE)</f>
        <v>SEVROLL 06442 horná vodiaca lišta 2,35m čierna štrukturálna</v>
      </c>
      <c r="F380" s="424" t="str">
        <f>+VLOOKUP(A380,cennik!A:B,2,FALSE)</f>
        <v>SEVROLL 06442 horná vodiaca lišta 2,35m čierna štrukturálna</v>
      </c>
      <c r="G380" s="422"/>
      <c r="H380" s="422">
        <v>2350</v>
      </c>
      <c r="I380" s="422" t="str">
        <f>CONCATENATE(H380,"-",J22)</f>
        <v>2350-čierna štrukturálna</v>
      </c>
    </row>
    <row r="381" spans="1:26" ht="15" customHeight="1" x14ac:dyDescent="0.3">
      <c r="A381" s="196">
        <v>526500</v>
      </c>
      <c r="B381" s="422"/>
      <c r="C381" s="422" t="str">
        <f>CONCATENATE(H381,"-",J22)</f>
        <v>3000-čierna štrukturálna</v>
      </c>
      <c r="D381" s="196">
        <v>526500</v>
      </c>
      <c r="E381" s="424" t="str">
        <f>+VLOOKUP(A381,cennik!A:G,2,FALSE)</f>
        <v>SEVROLL 06124 horná vodiaca lišta 3m čierna štrukturálna</v>
      </c>
      <c r="F381" s="424" t="str">
        <f>+VLOOKUP(A381,cennik!A:B,2,FALSE)</f>
        <v>SEVROLL 06124 horná vodiaca lišta 3m čierna štrukturálna</v>
      </c>
      <c r="G381" s="422"/>
      <c r="H381" s="422">
        <v>3000</v>
      </c>
      <c r="I381" s="422" t="str">
        <f>CONCATENATE(H381,"-",J22)</f>
        <v>3000-čierna štrukturálna</v>
      </c>
    </row>
    <row r="382" spans="1:26" ht="15" customHeight="1" x14ac:dyDescent="0.3">
      <c r="A382" s="2">
        <v>452735</v>
      </c>
      <c r="C382" s="1" t="str">
        <f>CONCATENATE(H382,"-",J17)</f>
        <v>3000-čierna mat</v>
      </c>
      <c r="D382" s="2">
        <v>452735</v>
      </c>
      <c r="E382" s="434" t="str">
        <f>+VLOOKUP(A382,cennik!A:G,2,FALSE)</f>
        <v>SEVROLL 05324 Pax horná vodiaca lišta 3m čierna mat</v>
      </c>
      <c r="F382" s="48" t="str">
        <f>+VLOOKUP(A382,cennik!A:B,2,FALSE)</f>
        <v>SEVROLL 05324 Pax horná vodiaca lišta 3m čierna mat</v>
      </c>
      <c r="H382" s="1">
        <v>3000</v>
      </c>
      <c r="I382" s="1" t="str">
        <f>CONCATENATE(H382,"-",J17)</f>
        <v>3000-čierna mat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 xml:space="preserve">1500-strieborná </v>
      </c>
      <c r="D384" s="49">
        <v>224146</v>
      </c>
      <c r="E384" s="48" t="str">
        <f>+VLOOKUP(A384,cennik!A:G,2,FALSE)</f>
        <v>SEVROLL horná vodiaca lišta Simple/Blue 1,5m( pre lamino 10mm)strieborná</v>
      </c>
      <c r="F384" s="48" t="str">
        <f>+VLOOKUP(A384,cennik!A:B,2,FALSE)</f>
        <v>SEVROLL horná vodiaca lišta Simple/Blue 1,5m( pre lamino 10mm)strieborná</v>
      </c>
      <c r="H384" s="1">
        <v>1500</v>
      </c>
      <c r="I384" s="1" t="str">
        <f>CONCATENATE(H384,"-",J4)</f>
        <v xml:space="preserve">1500-strieborná 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 xml:space="preserve">2000-strieborná </v>
      </c>
      <c r="D385" s="49">
        <v>224147</v>
      </c>
      <c r="E385" s="48" t="str">
        <f>+VLOOKUP(A385,cennik!A:G,2,FALSE)</f>
        <v>SEVROLL horná vodiaca lišta Simple/Blue 2m(pre lamino 10mm)strieborná</v>
      </c>
      <c r="F385" s="48" t="str">
        <f>+VLOOKUP(A385,cennik!A:B,2,FALSE)</f>
        <v>SEVROLL horná vodiaca lišta Simple/Blue 2m(pre lamino 10mm)strieborná</v>
      </c>
      <c r="H385" s="1">
        <v>2000</v>
      </c>
      <c r="I385" s="1" t="str">
        <f>CONCATENATE(H385,"-",J4)</f>
        <v xml:space="preserve">2000-strieborná 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 xml:space="preserve">3000-strieborná </v>
      </c>
      <c r="D386" s="49">
        <v>222573</v>
      </c>
      <c r="E386" s="48" t="str">
        <f>+VLOOKUP(A386,cennik!A:G,2,FALSE)</f>
        <v>SEVROLL horná vodiaca lišta Simple/Blue 3m(pre lamino 10mm)strieborná</v>
      </c>
      <c r="F386" s="48" t="str">
        <f>+VLOOKUP(A386,cennik!A:B,2,FALSE)</f>
        <v>SEVROLL horná vodiaca lišta Simple/Blue 3m(pre lamino 10mm)strieborná</v>
      </c>
      <c r="H386" s="1">
        <v>3000</v>
      </c>
      <c r="I386" s="1" t="str">
        <f>CONCATENATE(H386,"-",J4)</f>
        <v xml:space="preserve">3000-strieborná 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1500-oliva</v>
      </c>
      <c r="D387" s="49">
        <v>224149</v>
      </c>
      <c r="E387" s="48" t="str">
        <f>+VLOOKUP(A387,cennik!A:G,2,FALSE)</f>
        <v>SEVROLL 03758 horná vodiaca lišta Simple/Blue 1,5m (pre lamino 10mm) oliva</v>
      </c>
      <c r="F387" s="48" t="str">
        <f>+VLOOKUP(A387,cennik!A:B,2,FALSE)</f>
        <v>SEVROLL 03758 horná vodiaca lišta Simple/Blue 1,5m (pre lamino 10mm) oliva</v>
      </c>
      <c r="H387" s="1">
        <v>1500</v>
      </c>
      <c r="I387" s="1" t="str">
        <f>CONCATENATE(H387,"-",J6)</f>
        <v>1500-oliva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2000-oliva</v>
      </c>
      <c r="D388" s="49">
        <v>224150</v>
      </c>
      <c r="E388" s="48" t="str">
        <f>+VLOOKUP(A388,cennik!A:G,2,FALSE)</f>
        <v>SEVROLL 03759 horná vodiaca lišta Simple/Blue 2m (pre lamino 10mm) oliva</v>
      </c>
      <c r="F388" s="48" t="str">
        <f>+VLOOKUP(A388,cennik!A:B,2,FALSE)</f>
        <v>SEVROLL 03759 horná vodiaca lišta Simple/Blue 2m (pre lamino 10mm) oliva</v>
      </c>
      <c r="H388" s="1">
        <v>2000</v>
      </c>
      <c r="I388" s="1" t="str">
        <f>CONCATENATE(H388,"-",J6)</f>
        <v>2000-oliva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3000-oliva</v>
      </c>
      <c r="D389" s="49">
        <v>223563</v>
      </c>
      <c r="E389" s="48" t="str">
        <f>+VLOOKUP(A389,cennik!A:G,2,FALSE)</f>
        <v>SEVROLL horná vodiaca lišta Simple/Blue 3m (pre lamino 10mm) oliva</v>
      </c>
      <c r="F389" s="48" t="str">
        <f>+VLOOKUP(A389,cennik!A:B,2,FALSE)</f>
        <v>SEVROLL horná vodiaca lišta Simple/Blue 3m (pre lamino 10mm) oliva</v>
      </c>
      <c r="H389" s="1">
        <v>3000</v>
      </c>
      <c r="I389" s="1" t="str">
        <f>CONCATENATE(H389,"-",J6)</f>
        <v>3000-oliva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 xml:space="preserve">1500-strieborná </v>
      </c>
      <c r="D391" s="49">
        <v>224131</v>
      </c>
      <c r="E391" s="48" t="str">
        <f>+VLOOKUP(A391,cennik!A:G,2,FALSE)</f>
        <v>SEVROLL 04460 horná vodiaca lišta Simple/Blue 1,5m (pre lamino 18mm) strieborná</v>
      </c>
      <c r="F391" s="48" t="str">
        <f>+VLOOKUP(A391,cennik!A:B,2,FALSE)</f>
        <v>SEVROLL 04460 horná vodiaca lišta Simple/Blue 1,5m (pre lamino 18mm) strieborná</v>
      </c>
      <c r="H391" s="1">
        <v>1500</v>
      </c>
      <c r="I391" s="1" t="str">
        <f>CONCATENATE(H391,"-",J4)</f>
        <v xml:space="preserve">1500-strieborná 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 xml:space="preserve">2000-strieborná </v>
      </c>
      <c r="D392" s="49">
        <v>224132</v>
      </c>
      <c r="E392" s="48" t="str">
        <f>+VLOOKUP(A392,cennik!A:G,2,FALSE)</f>
        <v>SEVROLL 04461 horná vodiaca lišta Simple/Blue 2m (pre lamino 18mm) strieborná</v>
      </c>
      <c r="F392" s="48" t="str">
        <f>+VLOOKUP(A392,cennik!A:B,2,FALSE)</f>
        <v>SEVROLL 04461 horná vodiaca lišta Simple/Blue 2m (pre lamino 18mm) strieborná</v>
      </c>
      <c r="H392" s="1">
        <v>2000</v>
      </c>
      <c r="I392" s="1" t="str">
        <f>CONCATENATE(H392,"-",J4)</f>
        <v xml:space="preserve">2000-strieborná 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 xml:space="preserve">3000-strieborná </v>
      </c>
      <c r="D393" s="49">
        <v>222571</v>
      </c>
      <c r="E393" s="48" t="str">
        <f>+VLOOKUP(A393,cennik!A:G,2,FALSE)</f>
        <v>SEVROLL 04463 horná vodiaca lišta Simple/Blue 3m (pre lamino 18mm) strieborná</v>
      </c>
      <c r="F393" s="48" t="str">
        <f>+VLOOKUP(A393,cennik!A:B,2,FALSE)</f>
        <v>SEVROLL 04463 horná vodiaca lišta Simple/Blue 3m (pre lamino 18mm) strieborná</v>
      </c>
      <c r="H393" s="1">
        <v>3000</v>
      </c>
      <c r="I393" s="1" t="str">
        <f>CONCATENATE(H393,"-",J4)</f>
        <v xml:space="preserve">3000-strieborná </v>
      </c>
      <c r="Z393" s="1" t="b">
        <f t="shared" si="8"/>
        <v>1</v>
      </c>
    </row>
    <row r="394" spans="1:26" ht="15" customHeight="1" x14ac:dyDescent="0.3">
      <c r="A394" s="2">
        <v>488237</v>
      </c>
      <c r="B394" s="450"/>
      <c r="C394" s="1" t="str">
        <f>CONCATENATE(H394,"-",J17)</f>
        <v>1500-čierna mat</v>
      </c>
      <c r="D394" s="2">
        <v>488237</v>
      </c>
      <c r="E394" s="48" t="str">
        <f>+VLOOKUP(A394,cennik!A:G,2,FALSE)</f>
        <v>SEVROLL 05749 horná vodiaca lišta Simple/Blue 2m (pre lamino 18mm) čierna mat</v>
      </c>
      <c r="F394" s="48" t="str">
        <f>+VLOOKUP(A394,cennik!A:B,2,FALSE)</f>
        <v>SEVROLL 05749 horná vodiaca lišta Simple/Blue 2m (pre lamino 18mm) čierna mat</v>
      </c>
      <c r="H394" s="1">
        <v>1500</v>
      </c>
      <c r="I394" s="1" t="str">
        <f>CONCATENATE(H394,"-",J17)</f>
        <v>1500-čierna mat</v>
      </c>
      <c r="Z394" s="1" t="b">
        <f t="shared" si="8"/>
        <v>1</v>
      </c>
    </row>
    <row r="395" spans="1:26" ht="15" customHeight="1" x14ac:dyDescent="0.3">
      <c r="A395" s="2">
        <v>488237</v>
      </c>
      <c r="B395" s="450"/>
      <c r="C395" s="1" t="str">
        <f>CONCATENATE(H395,"-",J17)</f>
        <v>2000-čierna mat</v>
      </c>
      <c r="D395" s="2">
        <v>488237</v>
      </c>
      <c r="E395" s="48" t="str">
        <f>+VLOOKUP(A395,cennik!A:G,2,FALSE)</f>
        <v>SEVROLL 05749 horná vodiaca lišta Simple/Blue 2m (pre lamino 18mm) čierna mat</v>
      </c>
      <c r="F395" s="48" t="str">
        <f>+VLOOKUP(A395,cennik!A:B,2,FALSE)</f>
        <v>SEVROLL 05749 horná vodiaca lišta Simple/Blue 2m (pre lamino 18mm) čierna mat</v>
      </c>
      <c r="H395" s="1">
        <v>2000</v>
      </c>
      <c r="I395" s="1" t="str">
        <f>CONCATENATE(H395,"-",J17)</f>
        <v>2000-čierna mat</v>
      </c>
      <c r="Z395" s="1" t="b">
        <f t="shared" si="8"/>
        <v>1</v>
      </c>
    </row>
    <row r="396" spans="1:26" ht="15" customHeight="1" x14ac:dyDescent="0.3">
      <c r="A396" s="2">
        <v>488238</v>
      </c>
      <c r="B396" s="450"/>
      <c r="C396" s="1" t="str">
        <f>CONCATENATE(H396,"-",J17)</f>
        <v>3000-čierna mat</v>
      </c>
      <c r="D396" s="2">
        <v>488238</v>
      </c>
      <c r="E396" s="48" t="str">
        <f>+VLOOKUP(A396,cennik!A:G,2,FALSE)</f>
        <v>SEVROLL 05750 horná vodiaca lišta Simple/Blue 3m (pre lamino 18mm) čierna mat</v>
      </c>
      <c r="F396" s="48" t="str">
        <f>+VLOOKUP(A396,cennik!A:B,2,FALSE)</f>
        <v>SEVROLL 05750 horná vodiaca lišta Simple/Blue 3m (pre lamino 18mm) čierna mat</v>
      </c>
      <c r="H396" s="1">
        <v>3000</v>
      </c>
      <c r="I396" s="1" t="str">
        <f>CONCATENATE(H396,"-",J17)</f>
        <v>3000-čierna mat</v>
      </c>
      <c r="Z396" s="1" t="b">
        <f t="shared" si="8"/>
        <v>1</v>
      </c>
    </row>
    <row r="397" spans="1:26" ht="15" customHeight="1" x14ac:dyDescent="0.3">
      <c r="A397" s="439">
        <v>394267</v>
      </c>
      <c r="B397" s="439"/>
      <c r="C397" s="439" t="str">
        <f>CONCATENATE(H397,"-",J15)</f>
        <v>1500-biela lesk</v>
      </c>
      <c r="D397" s="439">
        <v>394267</v>
      </c>
      <c r="E397" s="437" t="str">
        <f>+VLOOKUP(A397,cennik!A:G,2,FALSE)</f>
        <v>SEVROLL 04942 horná vodiaca lišta Simple/Blue 2m (pre lamino 18mm) biely lesk</v>
      </c>
      <c r="F397" s="437" t="str">
        <f>+VLOOKUP(A397,cennik!A:B,2,FALSE)</f>
        <v>SEVROLL 04942 horná vodiaca lišta Simple/Blue 2m (pre lamino 18mm) biely lesk</v>
      </c>
      <c r="G397" s="439"/>
      <c r="H397" s="439">
        <v>1500</v>
      </c>
      <c r="I397" s="439" t="str">
        <f>CONCATENATE(H397,"-",J15)</f>
        <v>1500-biela lesk</v>
      </c>
      <c r="Z397" s="1" t="b">
        <f t="shared" si="8"/>
        <v>1</v>
      </c>
    </row>
    <row r="398" spans="1:26" ht="15" customHeight="1" x14ac:dyDescent="0.3">
      <c r="A398" s="439">
        <v>394267</v>
      </c>
      <c r="B398" s="439"/>
      <c r="C398" s="439" t="str">
        <f>CONCATENATE(H398,"-",J15)</f>
        <v>2000-biela lesk</v>
      </c>
      <c r="D398" s="439">
        <v>394267</v>
      </c>
      <c r="E398" s="437" t="str">
        <f>+VLOOKUP(A398,cennik!A:G,2,FALSE)</f>
        <v>SEVROLL 04942 horná vodiaca lišta Simple/Blue 2m (pre lamino 18mm) biely lesk</v>
      </c>
      <c r="F398" s="437" t="str">
        <f>+VLOOKUP(A398,cennik!A:B,2,FALSE)</f>
        <v>SEVROLL 04942 horná vodiaca lišta Simple/Blue 2m (pre lamino 18mm) biely lesk</v>
      </c>
      <c r="G398" s="439"/>
      <c r="H398" s="439">
        <v>2000</v>
      </c>
      <c r="I398" s="439" t="str">
        <f>CONCATENATE(H398,"-",J15)</f>
        <v>2000-biela lesk</v>
      </c>
      <c r="Z398" s="1" t="b">
        <f t="shared" si="8"/>
        <v>1</v>
      </c>
    </row>
    <row r="399" spans="1:26" ht="15" customHeight="1" x14ac:dyDescent="0.3">
      <c r="A399" s="439">
        <v>394270</v>
      </c>
      <c r="B399" s="439"/>
      <c r="C399" s="439" t="str">
        <f>CONCATENATE(H399,"-",J15)</f>
        <v>3000-biela lesk</v>
      </c>
      <c r="D399" s="439">
        <v>394270</v>
      </c>
      <c r="E399" s="437" t="str">
        <f>+VLOOKUP(A399,cennik!A:G,2,FALSE)</f>
        <v>SEVROLL 04943 horná vodiaca lišta Simple/Blue 3m (pre lamino 18mm) biely lesk</v>
      </c>
      <c r="F399" s="437" t="str">
        <f>+VLOOKUP(A399,cennik!A:B,2,FALSE)</f>
        <v>SEVROLL 04943 horná vodiaca lišta Simple/Blue 3m (pre lamino 18mm) biely lesk</v>
      </c>
      <c r="G399" s="439"/>
      <c r="H399" s="439">
        <v>3000</v>
      </c>
      <c r="I399" s="439" t="str">
        <f>CONCATENATE(H399,"-",J15)</f>
        <v>3000-biela lesk</v>
      </c>
      <c r="Z399" s="1" t="b">
        <f t="shared" si="8"/>
        <v>1</v>
      </c>
    </row>
    <row r="400" spans="1:26" ht="15" customHeight="1" x14ac:dyDescent="0.3">
      <c r="A400" s="49">
        <v>224134</v>
      </c>
      <c r="B400" s="163"/>
      <c r="C400" s="1" t="str">
        <f>CONCATENATE(H400,"-",J6)</f>
        <v>1500-oliva</v>
      </c>
      <c r="D400" s="49">
        <v>224134</v>
      </c>
      <c r="E400" s="48" t="e">
        <f>+VLOOKUP(A400,cennik!A:G,2,FALSE)</f>
        <v>#N/A</v>
      </c>
      <c r="F400" s="48" t="e">
        <f>+VLOOKUP(A400,cennik!A:B,2,FALSE)</f>
        <v>#N/A</v>
      </c>
      <c r="H400" s="1">
        <v>1500</v>
      </c>
      <c r="I400" s="1" t="str">
        <f>CONCATENATE(H400,"-",J6)</f>
        <v>1500-oliva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2000-oliva</v>
      </c>
      <c r="D401" s="49">
        <v>224135</v>
      </c>
      <c r="E401" s="48" t="str">
        <f>+VLOOKUP(A401,cennik!A:G,2,FALSE)</f>
        <v>SEVROLL 04457 horná vodiaca lišta Simple/Blue 2m (pre lamino 18mm) oliva</v>
      </c>
      <c r="F401" s="48" t="str">
        <f>+VLOOKUP(A401,cennik!A:B,2,FALSE)</f>
        <v>SEVROLL 04457 horná vodiaca lišta Simple/Blue 2m (pre lamino 18mm) oliva</v>
      </c>
      <c r="H401" s="1">
        <v>2000</v>
      </c>
      <c r="I401" s="1" t="str">
        <f>CONCATENATE(H401,"-",J6)</f>
        <v>2000-oliva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3000-oliva</v>
      </c>
      <c r="D402" s="49">
        <v>223561</v>
      </c>
      <c r="E402" s="48" t="str">
        <f>+VLOOKUP(A402,cennik!A:G,2,FALSE)</f>
        <v>SEVROLL 04459 horná vodiaca lišta Simple/Blue 3m (pre lamino 18mm) oliva</v>
      </c>
      <c r="F402" s="48" t="str">
        <f>+VLOOKUP(A402,cennik!A:B,2,FALSE)</f>
        <v>SEVROLL 04459 horná vodiaca lišta Simple/Blue 3m (pre lamino 18mm) oliva</v>
      </c>
      <c r="H402" s="1">
        <v>3000</v>
      </c>
      <c r="I402" s="1" t="str">
        <f>CONCATENATE(H402,"-",J6)</f>
        <v>3000-oliva</v>
      </c>
      <c r="Z402" s="1" t="b">
        <f t="shared" si="8"/>
        <v>1</v>
      </c>
    </row>
    <row r="403" spans="1:26" s="422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22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22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22" customFormat="1" ht="15" customHeight="1" x14ac:dyDescent="0.3">
      <c r="A406" s="426">
        <v>89228</v>
      </c>
      <c r="B406" s="424"/>
      <c r="C406" s="422" t="str">
        <f>CONCATENATE(H406,"-",J4)</f>
        <v xml:space="preserve">1700-strieborná </v>
      </c>
      <c r="D406" s="426">
        <v>89228</v>
      </c>
      <c r="E406" s="424" t="str">
        <f>+VLOOKUP(A406,cennik!A:G,2,FALSE)</f>
        <v>SEVROLL spodná krycia lišta 1,7m 10mm strieborná</v>
      </c>
      <c r="F406" s="424" t="str">
        <f>+VLOOKUP(A406,cennik!A:B,2,FALSE)</f>
        <v>SEVROLL spodná krycia lišta 1,7m 10mm strieborná</v>
      </c>
      <c r="G406" s="422" t="e">
        <f>+VLOOKUP(A406,#REF!,4,FALSE)</f>
        <v>#REF!</v>
      </c>
      <c r="H406" s="422" t="s">
        <v>464</v>
      </c>
      <c r="I406" s="422" t="str">
        <f>CONCATENATE(H406,"-",J4)</f>
        <v xml:space="preserve">1700-strieborná </v>
      </c>
      <c r="Z406" s="1" t="b">
        <f t="shared" si="8"/>
        <v>1</v>
      </c>
    </row>
    <row r="407" spans="1:26" s="422" customFormat="1" ht="15" customHeight="1" x14ac:dyDescent="0.3">
      <c r="A407" s="426">
        <v>89229</v>
      </c>
      <c r="B407" s="424"/>
      <c r="C407" s="422" t="str">
        <f>CONCATENATE(H407,"-",J6)</f>
        <v>1700-oliva</v>
      </c>
      <c r="D407" s="426">
        <v>89229</v>
      </c>
      <c r="E407" s="424" t="str">
        <f>+VLOOKUP(A407,cennik!A:G,2,FALSE)</f>
        <v>SEVROLL spodná krycia lišta 1,7m 10mm oliva</v>
      </c>
      <c r="F407" s="424" t="str">
        <f>+VLOOKUP(A407,cennik!A:B,2,FALSE)</f>
        <v>SEVROLL spodná krycia lišta 1,7m 10mm oliva</v>
      </c>
      <c r="G407" s="422" t="e">
        <f>+VLOOKUP(A407,#REF!,4,FALSE)</f>
        <v>#REF!</v>
      </c>
      <c r="H407" s="422" t="s">
        <v>464</v>
      </c>
      <c r="I407" s="422" t="str">
        <f>CONCATENATE(H407,"-",J6)</f>
        <v>1700-oliva</v>
      </c>
      <c r="Z407" s="1" t="b">
        <f t="shared" si="8"/>
        <v>1</v>
      </c>
    </row>
    <row r="408" spans="1:26" s="422" customFormat="1" ht="15" customHeight="1" x14ac:dyDescent="0.3">
      <c r="A408" s="426">
        <v>89254</v>
      </c>
      <c r="B408" s="424"/>
      <c r="C408" s="422" t="str">
        <f>CONCATENATE(H408,"-",J5)</f>
        <v>1700-zlatá</v>
      </c>
      <c r="D408" s="426">
        <v>89254</v>
      </c>
      <c r="E408" s="424" t="str">
        <f>+VLOOKUP(A408,cennik!A:G,2,FALSE)</f>
        <v>SEVROLL spodná krycia lišta 1,7m 10mm zlatá</v>
      </c>
      <c r="F408" s="424" t="str">
        <f>+VLOOKUP(A408,cennik!A:B,2,FALSE)</f>
        <v>SEVROLL spodná krycia lišta 1,7m 10mm zlatá</v>
      </c>
      <c r="G408" s="422" t="e">
        <f>+VLOOKUP(A408,#REF!,4,FALSE)</f>
        <v>#REF!</v>
      </c>
      <c r="H408" s="422" t="s">
        <v>464</v>
      </c>
      <c r="I408" s="422" t="str">
        <f>CONCATENATE(H408,"-",J5)</f>
        <v>1700-zlatá</v>
      </c>
      <c r="Z408" s="1" t="b">
        <f t="shared" si="8"/>
        <v>1</v>
      </c>
    </row>
    <row r="409" spans="1:26" s="422" customFormat="1" ht="15" customHeight="1" x14ac:dyDescent="0.3">
      <c r="A409" s="426">
        <v>89226</v>
      </c>
      <c r="B409" s="424"/>
      <c r="C409" s="422" t="str">
        <f>CONCATENATE(H409,"-",J4)</f>
        <v xml:space="preserve">2350-strieborná </v>
      </c>
      <c r="D409" s="426">
        <v>89226</v>
      </c>
      <c r="E409" s="424" t="str">
        <f>+VLOOKUP(A409,cennik!A:G,2,FALSE)</f>
        <v>SEVROLL spodná krycia lišta 2,35m 10mm strieborná</v>
      </c>
      <c r="F409" s="424" t="str">
        <f>+VLOOKUP(A409,cennik!A:B,2,FALSE)</f>
        <v>SEVROLL spodná krycia lišta 2,35m 10mm strieborná</v>
      </c>
      <c r="G409" s="422" t="e">
        <f>+VLOOKUP(A409,#REF!,4,FALSE)</f>
        <v>#REF!</v>
      </c>
      <c r="H409" s="422" t="s">
        <v>465</v>
      </c>
      <c r="I409" s="422" t="str">
        <f>CONCATENATE(H409,"-",J4)</f>
        <v xml:space="preserve">2350-strieborná </v>
      </c>
      <c r="Z409" s="1" t="b">
        <f t="shared" si="8"/>
        <v>1</v>
      </c>
    </row>
    <row r="410" spans="1:26" s="422" customFormat="1" ht="15" customHeight="1" x14ac:dyDescent="0.3">
      <c r="A410" s="426">
        <v>89227</v>
      </c>
      <c r="B410" s="424"/>
      <c r="C410" s="422" t="str">
        <f>CONCATENATE(H410,"-",J6)</f>
        <v>2350-oliva</v>
      </c>
      <c r="D410" s="426">
        <v>89227</v>
      </c>
      <c r="E410" s="424" t="str">
        <f>+VLOOKUP(A410,cennik!A:G,2,FALSE)</f>
        <v>SEVROLL spodná krycia lišta 2,35m 10mm oliva</v>
      </c>
      <c r="F410" s="424" t="str">
        <f>+VLOOKUP(A410,cennik!A:B,2,FALSE)</f>
        <v>SEVROLL spodná krycia lišta 2,35m 10mm oliva</v>
      </c>
      <c r="G410" s="422" t="e">
        <f>+VLOOKUP(A410,#REF!,4,FALSE)</f>
        <v>#REF!</v>
      </c>
      <c r="H410" s="422" t="s">
        <v>465</v>
      </c>
      <c r="I410" s="422" t="str">
        <f>CONCATENATE(H410,"-",J6)</f>
        <v>2350-oliva</v>
      </c>
      <c r="Z410" s="1" t="b">
        <f t="shared" si="8"/>
        <v>1</v>
      </c>
    </row>
    <row r="411" spans="1:26" s="422" customFormat="1" ht="15" customHeight="1" x14ac:dyDescent="0.3">
      <c r="A411" s="426">
        <v>89255</v>
      </c>
      <c r="B411" s="424"/>
      <c r="C411" s="422" t="str">
        <f>CONCATENATE(H411,"-",J5)</f>
        <v>2350-zlatá</v>
      </c>
      <c r="D411" s="426">
        <v>89255</v>
      </c>
      <c r="E411" s="424" t="str">
        <f>+VLOOKUP(A411,cennik!A:G,2,FALSE)</f>
        <v>SEVROLL spodná krycia lišta 2,35m 10mm zlatá</v>
      </c>
      <c r="F411" s="424" t="str">
        <f>+VLOOKUP(A411,cennik!A:B,2,FALSE)</f>
        <v>SEVROLL spodná krycia lišta 2,35m 10mm zlatá</v>
      </c>
      <c r="G411" s="422" t="e">
        <f>+VLOOKUP(A411,#REF!,4,FALSE)</f>
        <v>#REF!</v>
      </c>
      <c r="H411" s="422" t="s">
        <v>465</v>
      </c>
      <c r="I411" s="422" t="str">
        <f>CONCATENATE(H411,"-",J5)</f>
        <v>2350-zlatá</v>
      </c>
      <c r="Z411" s="1" t="b">
        <f t="shared" si="8"/>
        <v>1</v>
      </c>
    </row>
    <row r="412" spans="1:26" s="422" customFormat="1" ht="15" customHeight="1" x14ac:dyDescent="0.3">
      <c r="A412" s="426">
        <v>89224</v>
      </c>
      <c r="B412" s="424"/>
      <c r="C412" s="422" t="str">
        <f>CONCATENATE(H412,"-",J4)</f>
        <v xml:space="preserve">3000-strieborná </v>
      </c>
      <c r="D412" s="426">
        <v>89224</v>
      </c>
      <c r="E412" s="424" t="str">
        <f>+VLOOKUP(A412,cennik!A:G,2,FALSE)</f>
        <v>SEVROLL spodná krycia lišta 3m 10mm strieborná</v>
      </c>
      <c r="F412" s="424" t="str">
        <f>+VLOOKUP(A412,cennik!A:B,2,FALSE)</f>
        <v>SEVROLL spodná krycia lišta 3m 10mm strieborná</v>
      </c>
      <c r="G412" s="422" t="e">
        <f>+VLOOKUP(A412,#REF!,4,FALSE)</f>
        <v>#REF!</v>
      </c>
      <c r="H412" s="422" t="s">
        <v>466</v>
      </c>
      <c r="I412" s="422" t="str">
        <f>CONCATENATE(H412,"-",J4)</f>
        <v xml:space="preserve">3000-strieborná </v>
      </c>
      <c r="Z412" s="1" t="b">
        <f t="shared" si="8"/>
        <v>1</v>
      </c>
    </row>
    <row r="413" spans="1:26" s="422" customFormat="1" ht="15" customHeight="1" x14ac:dyDescent="0.3">
      <c r="A413" s="426">
        <v>89225</v>
      </c>
      <c r="B413" s="424"/>
      <c r="C413" s="422" t="str">
        <f>CONCATENATE(H413,"-",J6)</f>
        <v>3000-oliva</v>
      </c>
      <c r="D413" s="426">
        <v>89225</v>
      </c>
      <c r="E413" s="424" t="str">
        <f>+VLOOKUP(A413,cennik!A:G,2,FALSE)</f>
        <v>SEVROLL spodná krycia lišta 3m 10mm oliva</v>
      </c>
      <c r="F413" s="424" t="str">
        <f>+VLOOKUP(A413,cennik!A:B,2,FALSE)</f>
        <v>SEVROLL spodná krycia lišta 3m 10mm oliva</v>
      </c>
      <c r="G413" s="422" t="e">
        <f>+VLOOKUP(A413,#REF!,4,FALSE)</f>
        <v>#REF!</v>
      </c>
      <c r="H413" s="422" t="s">
        <v>466</v>
      </c>
      <c r="I413" s="422" t="str">
        <f>CONCATENATE(H413,"-",J6)</f>
        <v>3000-oliva</v>
      </c>
      <c r="Z413" s="1" t="b">
        <f t="shared" si="8"/>
        <v>1</v>
      </c>
    </row>
    <row r="414" spans="1:26" s="422" customFormat="1" ht="15" customHeight="1" x14ac:dyDescent="0.3">
      <c r="A414" s="426">
        <v>89256</v>
      </c>
      <c r="B414" s="424"/>
      <c r="C414" s="422" t="str">
        <f>CONCATENATE(H414,"-",J5)</f>
        <v>3000-zlatá</v>
      </c>
      <c r="D414" s="426">
        <v>89256</v>
      </c>
      <c r="E414" s="424" t="str">
        <f>+VLOOKUP(A414,cennik!A:G,2,FALSE)</f>
        <v>SEVROLL spodná krycia lišta 3m 10mm zlatá</v>
      </c>
      <c r="F414" s="424" t="str">
        <f>+VLOOKUP(A414,cennik!A:B,2,FALSE)</f>
        <v>SEVROLL spodná krycia lišta 3m 10mm zlatá</v>
      </c>
      <c r="G414" s="422" t="e">
        <f>+VLOOKUP(A414,#REF!,4,FALSE)</f>
        <v>#REF!</v>
      </c>
      <c r="H414" s="422" t="s">
        <v>466</v>
      </c>
      <c r="I414" s="422" t="str">
        <f>CONCATENATE(H414,"-",J5)</f>
        <v>3000-zlatá</v>
      </c>
      <c r="Z414" s="1" t="b">
        <f t="shared" si="8"/>
        <v>1</v>
      </c>
    </row>
    <row r="415" spans="1:26" s="422" customFormat="1" ht="15" customHeight="1" x14ac:dyDescent="0.3">
      <c r="A415" s="426">
        <v>422027</v>
      </c>
      <c r="B415" s="424"/>
      <c r="C415" s="422" t="str">
        <f>CONCATENATE(H415,"-",J17)</f>
        <v>1700-čierna mat</v>
      </c>
      <c r="D415" s="426">
        <v>422027</v>
      </c>
      <c r="E415" s="424" t="str">
        <f>+VLOOKUP(A415,cennik!A:G,2,FALSE)</f>
        <v>SEVROLL 05299 Gemini 10 spodná krycia lišta 1,7m 10mm čierna mat</v>
      </c>
      <c r="F415" s="424" t="str">
        <f>+VLOOKUP(A415,cennik!A:B,2,FALSE)</f>
        <v>SEVROLL 05299 Gemini 10 spodná krycia lišta 1,7m 10mm čierna mat</v>
      </c>
      <c r="H415" s="422">
        <v>1700</v>
      </c>
      <c r="I415" s="422" t="str">
        <f>CONCATENATE(H415,"-",J17)</f>
        <v>1700-čierna mat</v>
      </c>
      <c r="Z415" s="1" t="b">
        <f t="shared" si="8"/>
        <v>1</v>
      </c>
    </row>
    <row r="416" spans="1:26" s="422" customFormat="1" ht="15" customHeight="1" x14ac:dyDescent="0.3">
      <c r="A416" s="426">
        <v>422029</v>
      </c>
      <c r="B416" s="424"/>
      <c r="C416" s="422" t="str">
        <f>CONCATENATE(H416,"-",J17)</f>
        <v>2350-čierna mat</v>
      </c>
      <c r="D416" s="426">
        <v>422029</v>
      </c>
      <c r="E416" s="424" t="str">
        <f>+VLOOKUP(A416,cennik!A:G,2,FALSE)</f>
        <v>SEVROLL 05300 Gemini 10 spodná krycia lišta 2,35m 10mm čierna mat</v>
      </c>
      <c r="F416" s="424" t="str">
        <f>+VLOOKUP(A416,cennik!A:B,2,FALSE)</f>
        <v>SEVROLL 05300 Gemini 10 spodná krycia lišta 2,35m 10mm čierna mat</v>
      </c>
      <c r="H416" s="422">
        <v>2350</v>
      </c>
      <c r="I416" s="422" t="str">
        <f>CONCATENATE(H416,"-",J17)</f>
        <v>2350-čierna mat</v>
      </c>
      <c r="Z416" s="1" t="b">
        <f t="shared" si="8"/>
        <v>1</v>
      </c>
    </row>
    <row r="417" spans="1:26" s="422" customFormat="1" ht="15" customHeight="1" x14ac:dyDescent="0.3">
      <c r="A417" s="426">
        <v>422030</v>
      </c>
      <c r="B417" s="424"/>
      <c r="C417" s="422" t="str">
        <f>CONCATENATE(H417,"-",J17)</f>
        <v>3000-čierna mat</v>
      </c>
      <c r="D417" s="426">
        <v>422030</v>
      </c>
      <c r="E417" s="424" t="str">
        <f>+VLOOKUP(A417,cennik!A:G,2,FALSE)</f>
        <v>SEVROLL 03604 Gemini 10 spodná krycia lišta 3m 10mm čierna mat</v>
      </c>
      <c r="F417" s="424" t="str">
        <f>+VLOOKUP(A417,cennik!A:B,2,FALSE)</f>
        <v>SEVROLL 03604 Gemini 10 spodná krycia lišta 3m 10mm čierna mat</v>
      </c>
      <c r="H417" s="422">
        <v>3000</v>
      </c>
      <c r="I417" s="422" t="str">
        <f>CONCATENATE(H417,"-",J17)</f>
        <v>3000-čierna mat</v>
      </c>
      <c r="Z417" s="1" t="b">
        <f t="shared" si="8"/>
        <v>1</v>
      </c>
    </row>
    <row r="418" spans="1:26" s="422" customFormat="1" ht="15" customHeight="1" x14ac:dyDescent="0.3">
      <c r="A418" s="426">
        <v>119417</v>
      </c>
      <c r="B418" s="424"/>
      <c r="C418" s="422" t="str">
        <f>CONCATENATE(H418,"-",J7)</f>
        <v>1700-oliva kartáčovaná</v>
      </c>
      <c r="D418" s="426">
        <v>119417</v>
      </c>
      <c r="E418" s="424" t="str">
        <f>+VLOOKUP(A418,cennik!A:G,2,FALSE)</f>
        <v>SEVROLL spod. krycia lišta 1,7m 10mm oliva kartáč</v>
      </c>
      <c r="F418" s="424" t="str">
        <f>+VLOOKUP(A418,cennik!A:B,2,FALSE)</f>
        <v>SEVROLL spod. krycia lišta 1,7m 10mm oliva kartáč</v>
      </c>
      <c r="G418" s="422" t="e">
        <f>+VLOOKUP(A418,#REF!,4,FALSE)</f>
        <v>#REF!</v>
      </c>
      <c r="H418" s="422" t="s">
        <v>464</v>
      </c>
      <c r="I418" s="422" t="str">
        <f>CONCATENATE(H418,"-",J7)</f>
        <v>1700-oliva kartáčovaná</v>
      </c>
      <c r="Z418" s="1" t="b">
        <f t="shared" si="8"/>
        <v>1</v>
      </c>
    </row>
    <row r="419" spans="1:26" s="422" customFormat="1" ht="15" customHeight="1" x14ac:dyDescent="0.3">
      <c r="A419" s="426">
        <v>119421</v>
      </c>
      <c r="B419" s="424"/>
      <c r="C419" s="422" t="str">
        <f>CONCATENATE(H419,"-",J7)</f>
        <v>2350-oliva kartáčovaná</v>
      </c>
      <c r="D419" s="426">
        <v>119421</v>
      </c>
      <c r="E419" s="424" t="str">
        <f>+VLOOKUP(A419,cennik!A:G,2,FALSE)</f>
        <v>SEVROLL spod.krycia lišta 2,35m 10mm oliva kartáč</v>
      </c>
      <c r="F419" s="424" t="str">
        <f>+VLOOKUP(A419,cennik!A:B,2,FALSE)</f>
        <v>SEVROLL spod.krycia lišta 2,35m 10mm oliva kartáč</v>
      </c>
      <c r="G419" s="422" t="e">
        <f>+VLOOKUP(A419,#REF!,4,FALSE)</f>
        <v>#REF!</v>
      </c>
      <c r="H419" s="422" t="s">
        <v>465</v>
      </c>
      <c r="I419" s="422" t="str">
        <f>CONCATENATE(H419,"-",J7)</f>
        <v>2350-oliva kartáčovaná</v>
      </c>
      <c r="Z419" s="1" t="b">
        <f t="shared" si="8"/>
        <v>1</v>
      </c>
    </row>
    <row r="420" spans="1:26" s="422" customFormat="1" ht="15" customHeight="1" x14ac:dyDescent="0.3">
      <c r="A420" s="426">
        <v>119422</v>
      </c>
      <c r="B420" s="424"/>
      <c r="C420" s="422" t="str">
        <f>CONCATENATE(H420,"-",J7)</f>
        <v>3000-oliva kartáčovaná</v>
      </c>
      <c r="D420" s="426">
        <v>119422</v>
      </c>
      <c r="E420" s="424" t="str">
        <f>+VLOOKUP(A420,cennik!A:G,2,FALSE)</f>
        <v>SEVROLL spod.krycia lišta 3m 10mm oliva kartáč.</v>
      </c>
      <c r="F420" s="424" t="str">
        <f>+VLOOKUP(A420,cennik!A:B,2,FALSE)</f>
        <v>SEVROLL spod.krycia lišta 3m 10mm oliva kartáč.</v>
      </c>
      <c r="G420" s="422" t="e">
        <f>+VLOOKUP(A420,#REF!,4,FALSE)</f>
        <v>#REF!</v>
      </c>
      <c r="H420" s="422" t="s">
        <v>466</v>
      </c>
      <c r="I420" s="422" t="str">
        <f>CONCATENATE(H420,"-",J7)</f>
        <v>3000-oliva kartáčovaná</v>
      </c>
      <c r="Z420" s="1" t="b">
        <f t="shared" si="8"/>
        <v>1</v>
      </c>
    </row>
    <row r="421" spans="1:26" s="422" customFormat="1" ht="15" customHeight="1" x14ac:dyDescent="0.3">
      <c r="A421" s="196">
        <v>526476</v>
      </c>
      <c r="B421" s="424"/>
      <c r="C421" s="422" t="str">
        <f>CONCATENATE(H421,"-",J22)</f>
        <v>1700-čierna štrukturálna</v>
      </c>
      <c r="D421" s="196">
        <v>526476</v>
      </c>
      <c r="E421" s="424" t="str">
        <f>+VLOOKUP(A421,cennik!A:G,2,FALSE)</f>
        <v>SEVROLL 06439 Gemini 10 spodná krycia lišta 1,7m 10mm čierna štrukturálna</v>
      </c>
      <c r="F421" s="424" t="str">
        <f>+VLOOKUP(A421,cennik!A:B,2,FALSE)</f>
        <v>SEVROLL 06439 Gemini 10 spodná krycia lišta 1,7m 10mm čierna štrukturálna</v>
      </c>
      <c r="H421" s="422" t="s">
        <v>464</v>
      </c>
      <c r="I421" s="422" t="str">
        <f>CONCATENATE(H421,"-",J22)</f>
        <v>1700-čierna štrukturálna</v>
      </c>
      <c r="Z421" s="1"/>
    </row>
    <row r="422" spans="1:26" s="422" customFormat="1" ht="15" customHeight="1" x14ac:dyDescent="0.3">
      <c r="A422" s="196">
        <v>526477</v>
      </c>
      <c r="B422" s="424"/>
      <c r="C422" s="422" t="str">
        <f>CONCATENATE(H422,"-",J22)</f>
        <v>2350-čierna štrukturálna</v>
      </c>
      <c r="D422" s="196">
        <v>526477</v>
      </c>
      <c r="E422" s="424" t="str">
        <f>+VLOOKUP(A422,cennik!A:G,2,FALSE)</f>
        <v>SEVROLL 06440 Gemini 10 spodná krycia lišta 2,35m 10mm čierna štrukturálna</v>
      </c>
      <c r="F422" s="424" t="str">
        <f>+VLOOKUP(A422,cennik!A:B,2,FALSE)</f>
        <v>SEVROLL 06440 Gemini 10 spodná krycia lišta 2,35m 10mm čierna štrukturálna</v>
      </c>
      <c r="H422" s="422" t="s">
        <v>465</v>
      </c>
      <c r="I422" s="422" t="str">
        <f>CONCATENATE(H422,"-",J22)</f>
        <v>2350-čierna štrukturálna</v>
      </c>
      <c r="Z422" s="1"/>
    </row>
    <row r="423" spans="1:26" s="422" customFormat="1" ht="15" customHeight="1" x14ac:dyDescent="0.3">
      <c r="A423" s="196">
        <v>526478</v>
      </c>
      <c r="B423" s="424"/>
      <c r="C423" s="422" t="str">
        <f>CONCATENATE(H423,"-",J22)</f>
        <v>3000-čierna štrukturálna</v>
      </c>
      <c r="D423" s="196">
        <v>526478</v>
      </c>
      <c r="E423" s="424" t="str">
        <f>+VLOOKUP(A423,cennik!A:G,2,FALSE)</f>
        <v>SEVROLL 06123 Gemini 10 spodná krycia lišta 3m 10mm čierna štrukturálna</v>
      </c>
      <c r="F423" s="424" t="str">
        <f>+VLOOKUP(A423,cennik!A:B,2,FALSE)</f>
        <v>SEVROLL 06123 Gemini 10 spodná krycia lišta 3m 10mm čierna štrukturálna</v>
      </c>
      <c r="H423" s="422" t="s">
        <v>466</v>
      </c>
      <c r="I423" s="422" t="str">
        <f>CONCATENATE(H423,"-",J22)</f>
        <v>3000-čierna štrukturálna</v>
      </c>
      <c r="Z423" s="1"/>
    </row>
    <row r="424" spans="1:26" s="422" customFormat="1" ht="15" customHeight="1" x14ac:dyDescent="0.3">
      <c r="A424" s="426">
        <v>205170</v>
      </c>
      <c r="B424" s="424"/>
      <c r="C424" s="422" t="str">
        <f>CONCATENATE(H424,"-",J8)</f>
        <v>1700-kart. tm. oliva</v>
      </c>
      <c r="D424" s="426">
        <v>205170</v>
      </c>
      <c r="E424" s="424" t="str">
        <f>+VLOOKUP(A424,cennik!A:G,2,FALSE)</f>
        <v>SEVROLL 03094 spodná krycia lišta 1,7m 10mm oliva tmavá kartáčovaná</v>
      </c>
      <c r="F424" s="424" t="str">
        <f>+VLOOKUP(A424,cennik!A:B,2,FALSE)</f>
        <v>SEVROLL 03094 spodná krycia lišta 1,7m 10mm oliva tmavá kartáčovaná</v>
      </c>
      <c r="G424" s="422" t="e">
        <f>+VLOOKUP(A424,#REF!,4,FALSE)</f>
        <v>#REF!</v>
      </c>
      <c r="H424" s="422" t="s">
        <v>464</v>
      </c>
      <c r="I424" s="422" t="str">
        <f>CONCATENATE(H424,"-",J8)</f>
        <v>1700-kart. tm. oliva</v>
      </c>
      <c r="Z424" s="1" t="b">
        <f t="shared" si="8"/>
        <v>1</v>
      </c>
    </row>
    <row r="425" spans="1:26" s="422" customFormat="1" ht="15" customHeight="1" x14ac:dyDescent="0.3">
      <c r="A425" s="426">
        <v>205172</v>
      </c>
      <c r="B425" s="424"/>
      <c r="C425" s="422" t="str">
        <f>CONCATENATE(H425,"-",J8)</f>
        <v>2350-kart. tm. oliva</v>
      </c>
      <c r="D425" s="426">
        <v>205172</v>
      </c>
      <c r="E425" s="424" t="str">
        <f>+VLOOKUP(A425,cennik!A:G,2,FALSE)</f>
        <v>SEVROLL sp.kryc.lišta 2,35m oliva tm.kartáč</v>
      </c>
      <c r="F425" s="424" t="str">
        <f>+VLOOKUP(A425,cennik!A:B,2,FALSE)</f>
        <v>SEVROLL sp.kryc.lišta 2,35m oliva tm.kartáč</v>
      </c>
      <c r="G425" s="422" t="e">
        <f>+VLOOKUP(A425,#REF!,4,FALSE)</f>
        <v>#REF!</v>
      </c>
      <c r="H425" s="422" t="s">
        <v>465</v>
      </c>
      <c r="I425" s="422" t="str">
        <f>CONCATENATE(H425,"-",J8)</f>
        <v>2350-kart. tm. oliva</v>
      </c>
      <c r="Z425" s="1" t="b">
        <f t="shared" si="8"/>
        <v>1</v>
      </c>
    </row>
    <row r="426" spans="1:26" s="422" customFormat="1" ht="15" customHeight="1" x14ac:dyDescent="0.3">
      <c r="A426" s="426">
        <v>205174</v>
      </c>
      <c r="B426" s="424"/>
      <c r="C426" s="422" t="str">
        <f>CONCATENATE(H426,"-",J8)</f>
        <v>3000-kart. tm. oliva</v>
      </c>
      <c r="D426" s="426">
        <v>205174</v>
      </c>
      <c r="E426" s="424" t="str">
        <f>+VLOOKUP(A426,cennik!A:G,2,FALSE)</f>
        <v>SEVROLL spodná krycia lišta 3m 10mm oliva tmavá kartáčovaná</v>
      </c>
      <c r="F426" s="424" t="str">
        <f>+VLOOKUP(A426,cennik!A:B,2,FALSE)</f>
        <v>SEVROLL spodná krycia lišta 3m 10mm oliva tmavá kartáčovaná</v>
      </c>
      <c r="G426" s="422" t="e">
        <f>+VLOOKUP(A426,#REF!,4,FALSE)</f>
        <v>#REF!</v>
      </c>
      <c r="H426" s="422" t="s">
        <v>466</v>
      </c>
      <c r="I426" s="422" t="str">
        <f>CONCATENATE(H426,"-",J8)</f>
        <v>3000-kart. tm. oliva</v>
      </c>
      <c r="Z426" s="1" t="b">
        <f t="shared" si="8"/>
        <v>1</v>
      </c>
    </row>
    <row r="427" spans="1:26" s="422" customFormat="1" ht="15" customHeight="1" x14ac:dyDescent="0.3">
      <c r="A427" s="426">
        <v>205171</v>
      </c>
      <c r="B427" s="424"/>
      <c r="C427" s="422" t="str">
        <f>CONCATENATE(H427,"-",J9)</f>
        <v>1700-kart. čierna</v>
      </c>
      <c r="D427" s="426">
        <v>205171</v>
      </c>
      <c r="E427" s="424" t="str">
        <f>+VLOOKUP(A427,cennik!A:G,2,FALSE)</f>
        <v>SEVROLL spodná krycia lišta 1,7m 10mm čierna kartáčovaná</v>
      </c>
      <c r="F427" s="424" t="str">
        <f>+VLOOKUP(A427,cennik!A:B,2,FALSE)</f>
        <v>SEVROLL spodná krycia lišta 1,7m 10mm čierna kartáčovaná</v>
      </c>
      <c r="H427" s="422" t="s">
        <v>464</v>
      </c>
      <c r="I427" s="422" t="str">
        <f>CONCATENATE(H427,"-",J9)</f>
        <v>1700-kart. čierna</v>
      </c>
      <c r="Z427" s="1" t="b">
        <f t="shared" si="8"/>
        <v>1</v>
      </c>
    </row>
    <row r="428" spans="1:26" s="422" customFormat="1" ht="15" customHeight="1" x14ac:dyDescent="0.3">
      <c r="A428" s="426">
        <v>205173</v>
      </c>
      <c r="B428" s="424"/>
      <c r="C428" s="422" t="str">
        <f>CONCATENATE(H428,"-",J9)</f>
        <v>2350-kart. čierna</v>
      </c>
      <c r="D428" s="426">
        <v>205173</v>
      </c>
      <c r="E428" s="424" t="str">
        <f>+VLOOKUP(A428,cennik!A:G,2,FALSE)</f>
        <v>SEVROLL spod.krycia lišta 2,35m, 10mm čierna kartá</v>
      </c>
      <c r="F428" s="424" t="str">
        <f>+VLOOKUP(A428,cennik!A:B,2,FALSE)</f>
        <v>SEVROLL spod.krycia lišta 2,35m, 10mm čierna kartá</v>
      </c>
      <c r="H428" s="422" t="s">
        <v>465</v>
      </c>
      <c r="I428" s="422" t="str">
        <f>CONCATENATE(H428,"-",J9)</f>
        <v>2350-kart. čierna</v>
      </c>
      <c r="Z428" s="1" t="b">
        <f t="shared" si="8"/>
        <v>1</v>
      </c>
    </row>
    <row r="429" spans="1:26" s="422" customFormat="1" ht="15" customHeight="1" x14ac:dyDescent="0.3">
      <c r="A429" s="426">
        <v>205175</v>
      </c>
      <c r="B429" s="424"/>
      <c r="C429" s="422" t="str">
        <f>CONCATENATE(H429,"-",J9)</f>
        <v>3000-kart. čierna</v>
      </c>
      <c r="D429" s="426">
        <v>205175</v>
      </c>
      <c r="E429" s="424" t="str">
        <f>+VLOOKUP(A429,cennik!A:G,2,FALSE)</f>
        <v>SEVROLL spod.krycia lišta 3m 10mm čierna kartáč</v>
      </c>
      <c r="F429" s="424" t="str">
        <f>+VLOOKUP(A429,cennik!A:B,2,FALSE)</f>
        <v>SEVROLL spod.krycia lišta 3m 10mm čierna kartáč</v>
      </c>
      <c r="H429" s="422" t="s">
        <v>466</v>
      </c>
      <c r="I429" s="422" t="str">
        <f>CONCATENATE(H429,"-",J9)</f>
        <v>3000-kart. čierna</v>
      </c>
      <c r="Z429" s="1" t="b">
        <f t="shared" si="8"/>
        <v>1</v>
      </c>
    </row>
    <row r="430" spans="1:26" s="422" customFormat="1" ht="15" customHeight="1" x14ac:dyDescent="0.3">
      <c r="A430" s="426">
        <v>495473</v>
      </c>
      <c r="B430" s="424"/>
      <c r="C430" s="422" t="str">
        <f>CONCATENATE(H430,"-",J12)</f>
        <v>1700-grafit</v>
      </c>
      <c r="D430" s="426">
        <v>495473</v>
      </c>
      <c r="E430" s="424" t="str">
        <f>+VLOOKUP(A430,cennik!A:G,2,FALSE)</f>
        <v>SEVROLL 06037 spodná krycia lišta 1,7m 10mm grafit</v>
      </c>
      <c r="F430" s="424" t="str">
        <f>+VLOOKUP(A430,cennik!A:B,2,FALSE)</f>
        <v>SEVROLL 06037 spodná krycia lišta 1,7m 10mm grafit</v>
      </c>
      <c r="H430" s="422">
        <v>1700</v>
      </c>
      <c r="I430" s="422" t="str">
        <f>CONCATENATE(H430,"-",J12)</f>
        <v>1700-grafit</v>
      </c>
      <c r="Z430" s="1" t="b">
        <f t="shared" si="8"/>
        <v>1</v>
      </c>
    </row>
    <row r="431" spans="1:26" s="422" customFormat="1" ht="15" customHeight="1" x14ac:dyDescent="0.3">
      <c r="A431" s="426">
        <v>495474</v>
      </c>
      <c r="B431" s="424"/>
      <c r="C431" s="422" t="str">
        <f>CONCATENATE(H431,"-",J12)</f>
        <v>2350-grafit</v>
      </c>
      <c r="D431" s="426">
        <v>495474</v>
      </c>
      <c r="E431" s="424" t="str">
        <f>+VLOOKUP(A431,cennik!A:G,2,FALSE)</f>
        <v>SEVROLL 06038 spod.krycia lišta 2,35m 10mm grafit</v>
      </c>
      <c r="F431" s="424" t="str">
        <f>+VLOOKUP(A431,cennik!A:B,2,FALSE)</f>
        <v>SEVROLL 06038 spod.krycia lišta 2,35m 10mm grafit</v>
      </c>
      <c r="H431" s="422">
        <v>2350</v>
      </c>
      <c r="I431" s="422" t="str">
        <f>CONCATENATE(H431,"-",J12)</f>
        <v>2350-grafit</v>
      </c>
      <c r="Z431" s="1" t="b">
        <f t="shared" si="8"/>
        <v>1</v>
      </c>
    </row>
    <row r="432" spans="1:26" s="422" customFormat="1" ht="15" customHeight="1" x14ac:dyDescent="0.3">
      <c r="A432" s="426">
        <v>495475</v>
      </c>
      <c r="B432" s="424"/>
      <c r="C432" s="422" t="str">
        <f>CONCATENATE(H432,"-",J12)</f>
        <v>3000-grafit</v>
      </c>
      <c r="D432" s="426">
        <v>495475</v>
      </c>
      <c r="E432" s="424" t="str">
        <f>+VLOOKUP(A432,cennik!A:G,2,FALSE)</f>
        <v>SEVROLL 05967 spodná krycia lišta 3m 10mm grafit</v>
      </c>
      <c r="F432" s="424" t="str">
        <f>+VLOOKUP(A432,cennik!A:B,2,FALSE)</f>
        <v>SEVROLL 05967 spodná krycia lišta 3m 10mm grafit</v>
      </c>
      <c r="H432" s="422">
        <v>3000</v>
      </c>
      <c r="I432" s="422" t="str">
        <f>CONCATENATE(H432,"-",J12)</f>
        <v>3000-grafit</v>
      </c>
      <c r="Z432" s="1" t="b">
        <f t="shared" si="8"/>
        <v>1</v>
      </c>
    </row>
    <row r="433" spans="1:26" s="422" customFormat="1" ht="15" customHeight="1" x14ac:dyDescent="0.3">
      <c r="A433" s="426">
        <v>276736</v>
      </c>
      <c r="B433" s="424"/>
      <c r="C433" s="422" t="str">
        <f>CONCATENATE(H433,"-",J15)</f>
        <v>1700-biela lesk</v>
      </c>
      <c r="D433" s="426">
        <v>276736</v>
      </c>
      <c r="E433" s="424" t="str">
        <f>+VLOOKUP(A433,cennik!A:G,2,FALSE)</f>
        <v>SEVROLL 04062 Gemini 10 spodná krycia lišta 1,7m 10mm biela lesk</v>
      </c>
      <c r="F433" s="424" t="str">
        <f>+VLOOKUP(A433,cennik!A:B,2,FALSE)</f>
        <v>SEVROLL 04062 Gemini 10 spodná krycia lišta 1,7m 10mm biela lesk</v>
      </c>
      <c r="H433" s="422" t="s">
        <v>464</v>
      </c>
      <c r="I433" s="422" t="str">
        <f>CONCATENATE(H433,"-",J15)</f>
        <v>1700-biela lesk</v>
      </c>
      <c r="Z433" s="1" t="b">
        <f t="shared" si="8"/>
        <v>1</v>
      </c>
    </row>
    <row r="434" spans="1:26" s="422" customFormat="1" ht="15" customHeight="1" x14ac:dyDescent="0.3">
      <c r="A434" s="426">
        <v>267954</v>
      </c>
      <c r="B434" s="424"/>
      <c r="C434" s="422" t="str">
        <f>CONCATENATE(H434,"-",J15)</f>
        <v>2350-biela lesk</v>
      </c>
      <c r="D434" s="426">
        <v>267954</v>
      </c>
      <c r="E434" s="424" t="str">
        <f>+VLOOKUP(A434,cennik!A:G,2,FALSE)</f>
        <v>SEVROLL 04063 Gemini 10 spodná krycia lišta 2,35m 10mm biela lesk</v>
      </c>
      <c r="F434" s="424" t="str">
        <f>+VLOOKUP(A434,cennik!A:B,2,FALSE)</f>
        <v>SEVROLL 04063 Gemini 10 spodná krycia lišta 2,35m 10mm biela lesk</v>
      </c>
      <c r="H434" s="422" t="s">
        <v>465</v>
      </c>
      <c r="I434" s="422" t="str">
        <f>CONCATENATE(H434,"-",J15)</f>
        <v>2350-biela lesk</v>
      </c>
      <c r="Z434" s="1" t="b">
        <f t="shared" si="8"/>
        <v>1</v>
      </c>
    </row>
    <row r="435" spans="1:26" ht="15" customHeight="1" x14ac:dyDescent="0.3">
      <c r="A435" s="426">
        <v>265067</v>
      </c>
      <c r="B435" s="424"/>
      <c r="C435" s="422" t="str">
        <f>CONCATENATE(H435,"-",J15)</f>
        <v>3000-biela lesk</v>
      </c>
      <c r="D435" s="426">
        <v>265067</v>
      </c>
      <c r="E435" s="424" t="str">
        <f>+VLOOKUP(A435,cennik!A:G,2,FALSE)</f>
        <v>SEVROLL 00145 Gemini 10 spodná krycia lišta 3m 10mm biela lesk</v>
      </c>
      <c r="F435" s="424" t="str">
        <f>+VLOOKUP(A435,cennik!A:B,2,FALSE)</f>
        <v>SEVROLL 00145 Gemini 10 spodná krycia lišta 3m 10mm biela lesk</v>
      </c>
      <c r="G435" s="422"/>
      <c r="H435" s="422" t="s">
        <v>466</v>
      </c>
      <c r="I435" s="422" t="str">
        <f>CONCATENATE(H435,"-",J15)</f>
        <v>3000-biela lesk</v>
      </c>
      <c r="Z435" s="1" t="b">
        <f t="shared" si="8"/>
        <v>1</v>
      </c>
    </row>
    <row r="436" spans="1:26" s="430" customFormat="1" ht="15" customHeight="1" x14ac:dyDescent="0.3">
      <c r="A436" s="426">
        <v>278059</v>
      </c>
      <c r="B436" s="424"/>
      <c r="C436" s="422" t="str">
        <f>CONCATENATE(H436,"-",J4)</f>
        <v xml:space="preserve">3000-strieborná </v>
      </c>
      <c r="D436" s="426">
        <v>278059</v>
      </c>
      <c r="E436" s="424" t="str">
        <f>+VLOOKUP(A436,cennik!A:G,2,FALSE)</f>
        <v>SEVROLL 04095 Pax spodná krycia lišta 3m 4mm strieborná</v>
      </c>
      <c r="F436" s="424" t="str">
        <f>+VLOOKUP(A436,cennik!A:B,2,FALSE)</f>
        <v>SEVROLL 04095 Pax spodná krycia lišta 3m 4mm strieborná</v>
      </c>
      <c r="G436" s="422"/>
      <c r="H436" s="422" t="s">
        <v>466</v>
      </c>
      <c r="I436" s="422" t="str">
        <f>CONCATENATE(H436,"-",J4)</f>
        <v xml:space="preserve">3000-strieborná </v>
      </c>
      <c r="Z436" s="1" t="b">
        <f t="shared" si="8"/>
        <v>1</v>
      </c>
    </row>
    <row r="437" spans="1:26" s="430" customFormat="1" ht="15" customHeight="1" x14ac:dyDescent="0.3">
      <c r="A437" s="426">
        <v>284526</v>
      </c>
      <c r="B437" s="424"/>
      <c r="C437" s="422" t="str">
        <f>CONCATENATE(H437,"-",J15)</f>
        <v>3000-biela lesk</v>
      </c>
      <c r="D437" s="426">
        <v>284526</v>
      </c>
      <c r="E437" s="424" t="str">
        <f>+VLOOKUP(A437,cennik!A:G,2,FALSE)</f>
        <v>SEVROLL 04099Gemini 4 Pax spodná krycia lišta 3m 4mm biela lesk</v>
      </c>
      <c r="F437" s="424" t="str">
        <f>+VLOOKUP(A437,cennik!A:B,2,FALSE)</f>
        <v>SEVROLL 04099Gemini 4 Pax spodná krycia lišta 3m 4mm biela lesk</v>
      </c>
      <c r="G437" s="422"/>
      <c r="H437" s="422" t="s">
        <v>466</v>
      </c>
      <c r="I437" s="422" t="str">
        <f>CONCATENATE(H437,"-",J15)</f>
        <v>3000-biela lesk</v>
      </c>
      <c r="Z437" s="1" t="b">
        <f t="shared" si="8"/>
        <v>1</v>
      </c>
    </row>
    <row r="438" spans="1:26" s="430" customFormat="1" ht="15" customHeight="1" x14ac:dyDescent="0.3">
      <c r="A438" s="430">
        <v>422030</v>
      </c>
      <c r="C438" s="422" t="str">
        <f>CONCATENATE(H438,"-",J17)</f>
        <v>3000-čierna mat</v>
      </c>
      <c r="D438" s="430">
        <v>422030</v>
      </c>
      <c r="E438" s="431" t="s">
        <v>1290</v>
      </c>
      <c r="F438" s="431" t="s">
        <v>1290</v>
      </c>
      <c r="H438" s="430">
        <v>3000</v>
      </c>
      <c r="I438" s="422" t="str">
        <f>CONCATENATE(H438,"-",J17)</f>
        <v>3000-čierna mat</v>
      </c>
      <c r="Z438" s="1" t="b">
        <f t="shared" ref="Z438:Z505" si="9">A438=D438</f>
        <v>1</v>
      </c>
    </row>
    <row r="439" spans="1:26" s="430" customFormat="1" ht="15" customHeight="1" x14ac:dyDescent="0.3">
      <c r="A439" s="430">
        <v>422036</v>
      </c>
      <c r="C439" s="422" t="str">
        <f>CONCATENATE(H439,"-",J17)</f>
        <v>3000-čierna mat</v>
      </c>
      <c r="D439" s="430">
        <v>422036</v>
      </c>
      <c r="E439" s="431" t="s">
        <v>1292</v>
      </c>
      <c r="F439" s="431" t="s">
        <v>1292</v>
      </c>
      <c r="H439" s="430">
        <v>3000</v>
      </c>
      <c r="I439" s="422" t="str">
        <f>CONCATENATE(H439,"-",J17)</f>
        <v>3000-čierna mat</v>
      </c>
      <c r="Z439" s="1" t="b">
        <f t="shared" si="9"/>
        <v>1</v>
      </c>
    </row>
    <row r="440" spans="1:26" s="430" customFormat="1" ht="15" customHeight="1" x14ac:dyDescent="0.3">
      <c r="A440" s="432">
        <v>405369</v>
      </c>
      <c r="C440" s="422" t="str">
        <f>CONCATENATE(H440,"-",J16)</f>
        <v>1700-čierna lesk</v>
      </c>
      <c r="D440" s="432">
        <v>405369</v>
      </c>
      <c r="E440" s="431" t="s">
        <v>1453</v>
      </c>
      <c r="F440" s="431" t="s">
        <v>1453</v>
      </c>
      <c r="H440" s="430">
        <v>1700</v>
      </c>
      <c r="I440" s="422" t="str">
        <f>CONCATENATE(H440,"-",J17)</f>
        <v>1700-čierna mat</v>
      </c>
      <c r="Z440" s="1" t="b">
        <f t="shared" si="9"/>
        <v>1</v>
      </c>
    </row>
    <row r="441" spans="1:26" s="430" customFormat="1" ht="15" customHeight="1" x14ac:dyDescent="0.3">
      <c r="A441" s="432">
        <v>405375</v>
      </c>
      <c r="C441" s="422" t="str">
        <f>CONCATENATE(H441,"-",J16)</f>
        <v>1350-čierna lesk</v>
      </c>
      <c r="D441" s="432">
        <v>405375</v>
      </c>
      <c r="E441" s="431" t="s">
        <v>1454</v>
      </c>
      <c r="F441" s="431" t="s">
        <v>1454</v>
      </c>
      <c r="H441" s="430">
        <v>1350</v>
      </c>
      <c r="I441" s="422" t="str">
        <f>CONCATENATE(H441,"-",J17)</f>
        <v>1350-čierna mat</v>
      </c>
      <c r="Z441" s="1" t="b">
        <f t="shared" si="9"/>
        <v>1</v>
      </c>
    </row>
    <row r="442" spans="1:26" s="430" customFormat="1" ht="15" customHeight="1" x14ac:dyDescent="0.3">
      <c r="A442" s="432">
        <v>405376</v>
      </c>
      <c r="C442" s="422" t="str">
        <f>CONCATENATE(H442,"-",J16)</f>
        <v>3000-čierna lesk</v>
      </c>
      <c r="D442" s="432">
        <v>405376</v>
      </c>
      <c r="E442" s="431" t="s">
        <v>1455</v>
      </c>
      <c r="F442" s="431" t="s">
        <v>1455</v>
      </c>
      <c r="H442" s="430">
        <v>3000</v>
      </c>
      <c r="I442" s="422" t="str">
        <f>CONCATENATE(H442,"-",J17)</f>
        <v>3000-čierna mat</v>
      </c>
      <c r="Z442" s="1" t="b">
        <f t="shared" si="9"/>
        <v>1</v>
      </c>
    </row>
    <row r="443" spans="1:26" s="430" customFormat="1" ht="15" customHeight="1" x14ac:dyDescent="0.3">
      <c r="A443" s="432">
        <v>497666</v>
      </c>
      <c r="C443" s="422" t="str">
        <f>CONCATENATE(H443,"-",J18)</f>
        <v>1700-biela mat</v>
      </c>
      <c r="D443" s="432">
        <v>497666</v>
      </c>
      <c r="E443" s="424" t="str">
        <f>+VLOOKUP(A443,cennik!A:G,2,FALSE)</f>
        <v>SEVROLL 05939 Gemini 10 spodná krycia lišta 1,7m 10mm biela mat</v>
      </c>
      <c r="F443" s="424" t="str">
        <f>+VLOOKUP(A443,cennik!A:B,2,FALSE)</f>
        <v>SEVROLL 05939 Gemini 10 spodná krycia lišta 1,7m 10mm biela mat</v>
      </c>
      <c r="H443" s="430">
        <v>1700</v>
      </c>
      <c r="I443" s="422" t="str">
        <f>CONCATENATE(H443,"-",J18)</f>
        <v>1700-biela mat</v>
      </c>
      <c r="Z443" s="1"/>
    </row>
    <row r="444" spans="1:26" s="430" customFormat="1" ht="15" customHeight="1" x14ac:dyDescent="0.3">
      <c r="A444" s="432">
        <v>497668</v>
      </c>
      <c r="C444" s="422" t="str">
        <f>CONCATENATE(H444,"-",J18)</f>
        <v>2350-biela mat</v>
      </c>
      <c r="D444" s="432">
        <v>497668</v>
      </c>
      <c r="E444" s="424" t="str">
        <f>+VLOOKUP(A444,cennik!A:G,2,FALSE)</f>
        <v>SEVROLL 05940 Gemini 10 spodná krycia lišta 2,35m 10mm biela mat</v>
      </c>
      <c r="F444" s="424" t="str">
        <f>+VLOOKUP(A444,cennik!A:B,2,FALSE)</f>
        <v>SEVROLL 05940 Gemini 10 spodná krycia lišta 2,35m 10mm biela mat</v>
      </c>
      <c r="H444" s="430">
        <v>2350</v>
      </c>
      <c r="I444" s="422" t="str">
        <f>CONCATENATE(H444,"-",J18)</f>
        <v>2350-biela mat</v>
      </c>
      <c r="Z444" s="1"/>
    </row>
    <row r="445" spans="1:26" s="430" customFormat="1" ht="15" customHeight="1" x14ac:dyDescent="0.3">
      <c r="A445" s="432">
        <v>497669</v>
      </c>
      <c r="C445" s="422" t="str">
        <f>CONCATENATE(H445,"-",J18)</f>
        <v>3000-biela mat</v>
      </c>
      <c r="D445" s="432">
        <v>497669</v>
      </c>
      <c r="E445" s="424" t="str">
        <f>+VLOOKUP(A445,cennik!A:G,2,FALSE)</f>
        <v>SEVROLL 05941 Gemini 10 spodná krycia lišta 3m 10mm biela mat</v>
      </c>
      <c r="F445" s="424" t="str">
        <f>+VLOOKUP(A445,cennik!A:B,2,FALSE)</f>
        <v>SEVROLL 05941 Gemini 10 spodná krycia lišta 3m 10mm biela mat</v>
      </c>
      <c r="H445" s="430">
        <v>3000</v>
      </c>
      <c r="I445" s="422" t="str">
        <f>CONCATENATE(H445,"-",J18)</f>
        <v>3000-biela mat</v>
      </c>
      <c r="Z445" s="1"/>
    </row>
    <row r="446" spans="1:26" s="422" customFormat="1" ht="15" customHeight="1" x14ac:dyDescent="0.3">
      <c r="A446" s="430">
        <v>422027</v>
      </c>
      <c r="B446" s="430"/>
      <c r="C446" s="422" t="str">
        <f>CONCATENATE(H446,"-",J17)</f>
        <v>1700-čierna mat</v>
      </c>
      <c r="D446" s="430">
        <v>422027</v>
      </c>
      <c r="E446" s="431" t="s">
        <v>1288</v>
      </c>
      <c r="F446" s="431" t="s">
        <v>1288</v>
      </c>
      <c r="G446" s="430"/>
      <c r="H446" s="430">
        <v>1700</v>
      </c>
      <c r="I446" s="422" t="str">
        <f>CONCATENATE(H446,"-",J17)</f>
        <v>1700-čierna mat</v>
      </c>
      <c r="Z446" s="1" t="b">
        <f t="shared" si="9"/>
        <v>1</v>
      </c>
    </row>
    <row r="447" spans="1:26" s="422" customFormat="1" ht="15" customHeight="1" x14ac:dyDescent="0.3">
      <c r="A447" s="430">
        <v>422029</v>
      </c>
      <c r="B447" s="430"/>
      <c r="C447" s="422" t="str">
        <f>CONCATENATE(H447,"-",J17)</f>
        <v>2350-čierna mat</v>
      </c>
      <c r="D447" s="430">
        <v>422029</v>
      </c>
      <c r="E447" s="431" t="s">
        <v>1289</v>
      </c>
      <c r="F447" s="431" t="s">
        <v>1289</v>
      </c>
      <c r="G447" s="430"/>
      <c r="H447" s="430">
        <v>2350</v>
      </c>
      <c r="I447" s="422" t="str">
        <f>CONCATENATE(H447,"-",J17)</f>
        <v>2350-čierna mat</v>
      </c>
      <c r="Z447" s="1" t="b">
        <f t="shared" si="9"/>
        <v>1</v>
      </c>
    </row>
    <row r="448" spans="1:26" s="422" customFormat="1" ht="15" customHeight="1" x14ac:dyDescent="0.3">
      <c r="A448" s="430">
        <v>422032</v>
      </c>
      <c r="B448" s="430"/>
      <c r="C448" s="422" t="str">
        <f>CONCATENATE(H448,"-",J17)</f>
        <v>3000-čierna mat</v>
      </c>
      <c r="D448" s="430">
        <v>422032</v>
      </c>
      <c r="E448" s="431" t="s">
        <v>1291</v>
      </c>
      <c r="F448" s="431" t="s">
        <v>1291</v>
      </c>
      <c r="G448" s="430"/>
      <c r="H448" s="430">
        <v>3000</v>
      </c>
      <c r="I448" s="422" t="str">
        <f>CONCATENATE(H448,"-",J17)</f>
        <v>3000-čierna mat</v>
      </c>
      <c r="Z448" s="1" t="b">
        <f t="shared" si="9"/>
        <v>1</v>
      </c>
    </row>
    <row r="449" spans="1:26" s="422" customFormat="1" ht="15" customHeight="1" x14ac:dyDescent="0.3">
      <c r="A449" s="428">
        <v>452737</v>
      </c>
      <c r="B449" s="424"/>
      <c r="C449" s="422" t="str">
        <f>CONCATENATE(H449,"-",J17)</f>
        <v>3000-čierna mat</v>
      </c>
      <c r="D449" s="428">
        <v>452737</v>
      </c>
      <c r="E449" s="428" t="s">
        <v>1269</v>
      </c>
      <c r="F449" s="428" t="s">
        <v>1269</v>
      </c>
      <c r="H449" s="422">
        <v>3000</v>
      </c>
      <c r="I449" s="422" t="str">
        <f>CONCATENATE(H449,"-",J16)</f>
        <v>3000-čierna lesk</v>
      </c>
      <c r="Z449" s="1" t="b">
        <f t="shared" si="9"/>
        <v>1</v>
      </c>
    </row>
    <row r="450" spans="1:26" ht="15" customHeight="1" x14ac:dyDescent="0.3">
      <c r="A450" s="196">
        <v>526476</v>
      </c>
      <c r="B450" s="424"/>
      <c r="C450" s="422" t="str">
        <f>CONCATENATE(H450,"-",J22)</f>
        <v>1700-čierna štrukturálna</v>
      </c>
      <c r="D450" s="196">
        <v>526476</v>
      </c>
      <c r="E450" s="424" t="str">
        <f>+VLOOKUP(A450,cennik!A:G,2,FALSE)</f>
        <v>SEVROLL 06439 Gemini 10 spodná krycia lišta 1,7m 10mm čierna štrukturálna</v>
      </c>
      <c r="F450" s="424" t="str">
        <f>+VLOOKUP(A450,cennik!A:B,2,FALSE)</f>
        <v>SEVROLL 06439 Gemini 10 spodná krycia lišta 1,7m 10mm čierna štrukturálna</v>
      </c>
      <c r="G450" s="422"/>
      <c r="H450" s="422">
        <v>1700</v>
      </c>
      <c r="I450" s="422" t="str">
        <f>CONCATENATE(H450,"-",J22)</f>
        <v>1700-čierna štrukturálna</v>
      </c>
      <c r="Z450" s="1" t="b">
        <f t="shared" si="9"/>
        <v>1</v>
      </c>
    </row>
    <row r="451" spans="1:26" ht="15" customHeight="1" x14ac:dyDescent="0.3">
      <c r="A451" s="196">
        <v>526477</v>
      </c>
      <c r="B451" s="424"/>
      <c r="C451" s="422" t="str">
        <f>CONCATENATE(H451,"-",J22)</f>
        <v>2350-čierna štrukturálna</v>
      </c>
      <c r="D451" s="196">
        <v>526477</v>
      </c>
      <c r="E451" s="424" t="str">
        <f>+VLOOKUP(A451,cennik!A:G,2,FALSE)</f>
        <v>SEVROLL 06440 Gemini 10 spodná krycia lišta 2,35m 10mm čierna štrukturálna</v>
      </c>
      <c r="F451" s="424" t="str">
        <f>+VLOOKUP(A451,cennik!A:B,2,FALSE)</f>
        <v>SEVROLL 06440 Gemini 10 spodná krycia lišta 2,35m 10mm čierna štrukturálna</v>
      </c>
      <c r="G451" s="422"/>
      <c r="H451" s="422">
        <v>2350</v>
      </c>
      <c r="I451" s="422" t="str">
        <f>CONCATENATE(H451,"-",J22)</f>
        <v>2350-čierna štrukturálna</v>
      </c>
      <c r="Z451" s="1" t="b">
        <f t="shared" si="9"/>
        <v>1</v>
      </c>
    </row>
    <row r="452" spans="1:26" ht="15" customHeight="1" x14ac:dyDescent="0.3">
      <c r="A452" s="196">
        <v>526478</v>
      </c>
      <c r="B452" s="424"/>
      <c r="C452" s="422" t="str">
        <f>CONCATENATE(H452,"-",J22)</f>
        <v>3000-čierna štrukturálna</v>
      </c>
      <c r="D452" s="196">
        <v>526478</v>
      </c>
      <c r="E452" s="424" t="str">
        <f>+VLOOKUP(A452,cennik!A:G,2,FALSE)</f>
        <v>SEVROLL 06123 Gemini 10 spodná krycia lišta 3m 10mm čierna štrukturálna</v>
      </c>
      <c r="F452" s="424" t="str">
        <f>+VLOOKUP(A452,cennik!A:B,2,FALSE)</f>
        <v>SEVROLL 06123 Gemini 10 spodná krycia lišta 3m 10mm čierna štrukturálna</v>
      </c>
      <c r="G452" s="422"/>
      <c r="H452" s="422">
        <v>3000</v>
      </c>
      <c r="I452" s="422" t="str">
        <f>CONCATENATE(H452,"-",J22)</f>
        <v>3000-čierna štrukturálna</v>
      </c>
      <c r="Z452" s="1" t="b">
        <f t="shared" si="9"/>
        <v>1</v>
      </c>
    </row>
    <row r="453" spans="1:26" s="435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5" customFormat="1" ht="15" customHeight="1" x14ac:dyDescent="0.3">
      <c r="A454" s="49">
        <v>278056</v>
      </c>
      <c r="B454" s="48"/>
      <c r="C454" s="1" t="str">
        <f>J4</f>
        <v xml:space="preserve">strieborná </v>
      </c>
      <c r="D454" s="49">
        <v>278056</v>
      </c>
      <c r="E454" s="48" t="str">
        <f>+VLOOKUP(A454,cennik!A:G,2,FALSE)</f>
        <v>SEVROLL 04094 Pax úchytová lišta 2,7m strieborná</v>
      </c>
      <c r="F454" s="48" t="str">
        <f>+VLOOKUP(A454,cennik!A:B,2,FALSE)</f>
        <v>SEVROLL 04094 Pax úchytová lišta 2,7m strieborná</v>
      </c>
      <c r="G454" s="1"/>
      <c r="H454" s="1">
        <v>2700</v>
      </c>
      <c r="I454" s="1" t="str">
        <f>J4</f>
        <v xml:space="preserve">strieborná 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biela lesk</v>
      </c>
      <c r="D455" s="49">
        <v>284521</v>
      </c>
      <c r="E455" s="48" t="str">
        <f>+VLOOKUP(A455,cennik!A:G,2,FALSE)</f>
        <v>SEVROLL 04098 Pax úchytová lišta 2,7m biela lesk</v>
      </c>
      <c r="F455" s="48" t="str">
        <f>+VLOOKUP(A455,cennik!A:B,2,FALSE)</f>
        <v>SEVROLL 04098 Pax úchytová lišta 2,7m biela lesk</v>
      </c>
      <c r="H455" s="1">
        <v>2700</v>
      </c>
      <c r="I455" s="1" t="str">
        <f>J15</f>
        <v>biela lesk</v>
      </c>
      <c r="Z455" s="1" t="b">
        <f t="shared" si="9"/>
        <v>1</v>
      </c>
    </row>
    <row r="456" spans="1:26" ht="15" customHeight="1" x14ac:dyDescent="0.3">
      <c r="A456" s="436">
        <v>456332</v>
      </c>
      <c r="B456" s="435"/>
      <c r="C456" s="435" t="str">
        <f>J17</f>
        <v>čierna mat</v>
      </c>
      <c r="D456" s="436">
        <v>456332</v>
      </c>
      <c r="E456" s="48" t="str">
        <f>+VLOOKUP(A456,cennik!A:G,2,FALSE)</f>
        <v>SEVROLL 05325 Pax úchytová lišta 2,7m čierna mat</v>
      </c>
      <c r="F456" s="48" t="str">
        <f>+VLOOKUP(A456,cennik!A:B,2,FALSE)</f>
        <v>SEVROLL 05325 Pax úchytová lišta 2,7m čierna mat</v>
      </c>
      <c r="G456" s="435"/>
      <c r="H456" s="435">
        <v>2700</v>
      </c>
      <c r="I456" s="435" t="str">
        <f>J17</f>
        <v>čierna mat</v>
      </c>
      <c r="Z456" s="1" t="b">
        <f t="shared" si="9"/>
        <v>1</v>
      </c>
    </row>
    <row r="457" spans="1:26" s="435" customFormat="1" ht="15" customHeight="1" x14ac:dyDescent="0.3">
      <c r="A457" s="436"/>
      <c r="D457" s="436"/>
      <c r="E457" s="48"/>
      <c r="F457" s="48"/>
      <c r="Z457" s="1" t="b">
        <f t="shared" si="9"/>
        <v>1</v>
      </c>
    </row>
    <row r="458" spans="1:26" s="435" customFormat="1" ht="15" customHeight="1" x14ac:dyDescent="0.3">
      <c r="A458" s="49">
        <v>278057</v>
      </c>
      <c r="B458" s="161"/>
      <c r="C458" s="1" t="str">
        <f>J4</f>
        <v xml:space="preserve">strieborná </v>
      </c>
      <c r="D458" s="49">
        <v>278057</v>
      </c>
      <c r="E458" s="48" t="str">
        <f>+VLOOKUP(A458,cennik!A:G,2,FALSE)</f>
        <v>SEVROLL Pax úchytová lišta 3m strieborná</v>
      </c>
      <c r="F458" s="48" t="str">
        <f>+VLOOKUP(A458,cennik!A:B,2,FALSE)</f>
        <v>SEVROLL Pax úchytová lišta 3m strieborná</v>
      </c>
      <c r="G458" s="1"/>
      <c r="H458" s="1">
        <v>3000</v>
      </c>
      <c r="I458" s="1" t="str">
        <f>J4</f>
        <v xml:space="preserve">strieborná 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biela lesk</v>
      </c>
      <c r="D459" s="49">
        <v>284523</v>
      </c>
      <c r="E459" s="48" t="str">
        <f>+VLOOKUP(A459,cennik!A:G,2,FALSE)</f>
        <v>SEVROLL 04101 Pax úchytová lišta 3m biela lesk</v>
      </c>
      <c r="F459" s="48" t="str">
        <f>+VLOOKUP(A459,cennik!A:B,2,FALSE)</f>
        <v>SEVROLL 04101 Pax úchytová lišta 3m biela lesk</v>
      </c>
      <c r="H459" s="1">
        <v>3000</v>
      </c>
      <c r="I459" s="1" t="str">
        <f>J15</f>
        <v>biela lesk</v>
      </c>
      <c r="Z459" s="1" t="b">
        <f t="shared" si="9"/>
        <v>1</v>
      </c>
    </row>
    <row r="460" spans="1:26" ht="15" customHeight="1" x14ac:dyDescent="0.3">
      <c r="A460" s="436">
        <v>456333</v>
      </c>
      <c r="B460" s="435"/>
      <c r="C460" s="435" t="str">
        <f>J17</f>
        <v>čierna mat</v>
      </c>
      <c r="D460" s="436">
        <v>456333</v>
      </c>
      <c r="E460" s="48" t="str">
        <f>+VLOOKUP(A460,cennik!A:G,2,FALSE)</f>
        <v>SEVROLL 05326 Pax úchytová lišta 3m čierna mat</v>
      </c>
      <c r="F460" s="48" t="str">
        <f>+VLOOKUP(A460,cennik!A:B,2,FALSE)</f>
        <v>SEVROLL 05326 Pax úchytová lišta 3m čierna mat</v>
      </c>
      <c r="G460" s="435"/>
      <c r="H460" s="435">
        <v>3000</v>
      </c>
      <c r="I460" s="435" t="str">
        <f>J17</f>
        <v>čierna mat</v>
      </c>
      <c r="Z460" s="1" t="b">
        <f t="shared" si="9"/>
        <v>1</v>
      </c>
    </row>
    <row r="461" spans="1:26" ht="15" customHeight="1" x14ac:dyDescent="0.3">
      <c r="A461" s="436"/>
      <c r="B461" s="435"/>
      <c r="C461" s="435"/>
      <c r="D461" s="436"/>
      <c r="E461" s="48"/>
      <c r="F461" s="48"/>
      <c r="G461" s="435"/>
      <c r="H461" s="435"/>
      <c r="I461" s="435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horná vodiaca lišta 3m strieborná</v>
      </c>
      <c r="F462" s="48" t="str">
        <f>+VLOOKUP(A462,cennik!A:B,2,FALSE)</f>
        <v>SEVROLL 04096 Pax horná vodiaca lišta 3m strieborná</v>
      </c>
      <c r="H462" s="1">
        <v>3000</v>
      </c>
      <c r="I462" s="1" t="str">
        <f>J4</f>
        <v xml:space="preserve">strieborná 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horná vodiaca lišta 3m biela lesk</v>
      </c>
      <c r="F463" s="48" t="str">
        <f>+VLOOKUP(A463,cennik!A:B,2,FALSE)</f>
        <v>SEVROLL 04100 Pax horná vodiaca lišta 3m biela lesk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Pax spodná krycia lišta 3m 4mm strieborná</v>
      </c>
      <c r="F464" s="48" t="str">
        <f>+VLOOKUP(A464,cennik!A:B,2,FALSE)</f>
        <v>SEVROLL 04095 Pax spodná krycia lišta 3m 4mm strieborná</v>
      </c>
      <c r="H464" s="1">
        <v>3000</v>
      </c>
      <c r="I464" s="1" t="str">
        <f>J4</f>
        <v xml:space="preserve">strieborná </v>
      </c>
      <c r="Z464" s="1" t="b">
        <f t="shared" si="9"/>
        <v>1</v>
      </c>
    </row>
    <row r="465" spans="1:26" s="439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04099Gemini 4 Pax spodná krycia lišta 3m 4mm biela lesk</v>
      </c>
      <c r="F465" s="48" t="str">
        <f>+VLOOKUP(A465,cennik!A:B,2,FALSE)</f>
        <v>SEVROLL 04099Gemini 4 Pax spodná krycia lišta 3m 4mm biela lesk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9" customFormat="1" ht="15" customHeight="1" x14ac:dyDescent="0.3">
      <c r="A466" s="49">
        <v>288126</v>
      </c>
      <c r="B466" s="161" t="s">
        <v>841</v>
      </c>
      <c r="C466" s="143" t="str">
        <f>J4</f>
        <v xml:space="preserve">strieborná </v>
      </c>
      <c r="D466" s="49">
        <v>288126</v>
      </c>
      <c r="E466" s="48" t="str">
        <f>+VLOOKUP(A466,cennik!A:G,2,FALSE)</f>
        <v>SEVROLL 20328 Pax nalepovacia úchytka strieborná</v>
      </c>
      <c r="F466" s="48" t="str">
        <f>+VLOOKUP(A466,cennik!A:B,2,FALSE)</f>
        <v>SEVROLL 20328 Pax nalepovacia úchytka strieborná</v>
      </c>
      <c r="G466" s="1"/>
      <c r="H466" s="1"/>
      <c r="I466" s="1" t="str">
        <f>J4</f>
        <v xml:space="preserve">strieborná 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biela lesk</v>
      </c>
      <c r="D467" s="49">
        <v>288125</v>
      </c>
      <c r="E467" s="48" t="str">
        <f>+VLOOKUP(A467,cennik!A:G,2,FALSE)</f>
        <v>SEVROLL 20329 Pax nalepovacia úchytka biela lesk</v>
      </c>
      <c r="F467" s="48" t="str">
        <f>+VLOOKUP(A467,cennik!A:B,2,FALSE)</f>
        <v>SEVROLL 20329 Pax nalepovacia úchytka biela lesk</v>
      </c>
      <c r="I467" s="1" t="str">
        <f>J15</f>
        <v>biela lesk</v>
      </c>
      <c r="Z467" s="1" t="b">
        <f t="shared" si="9"/>
        <v>1</v>
      </c>
    </row>
    <row r="468" spans="1:26" ht="15" customHeight="1" x14ac:dyDescent="0.3">
      <c r="A468" s="440">
        <v>278060</v>
      </c>
      <c r="B468" s="438" t="s">
        <v>840</v>
      </c>
      <c r="C468" s="439" t="str">
        <f>J4</f>
        <v xml:space="preserve">strieborná </v>
      </c>
      <c r="D468" s="440">
        <v>278060</v>
      </c>
      <c r="E468" s="437" t="str">
        <f>+VLOOKUP(A468,cennik!A:G,2,FALSE)</f>
        <v>SEVROLL 20298 Pax záslepka profilu (4 ks) strieborná</v>
      </c>
      <c r="F468" s="437" t="str">
        <f>+VLOOKUP(A468,cennik!A:B,2,FALSE)</f>
        <v>SEVROLL 20298 Pax záslepka profilu (4 ks) strieborná</v>
      </c>
      <c r="G468" s="439"/>
      <c r="H468" s="439"/>
      <c r="I468" s="439" t="str">
        <f>J4</f>
        <v xml:space="preserve">strieborná </v>
      </c>
      <c r="Z468" s="1" t="b">
        <f t="shared" si="9"/>
        <v>1</v>
      </c>
    </row>
    <row r="469" spans="1:26" ht="15" customHeight="1" x14ac:dyDescent="0.3">
      <c r="A469" s="440">
        <v>284529</v>
      </c>
      <c r="B469" s="438"/>
      <c r="C469" s="439" t="str">
        <f>J15</f>
        <v>biela lesk</v>
      </c>
      <c r="D469" s="440">
        <v>284529</v>
      </c>
      <c r="E469" s="437" t="str">
        <f>+VLOOKUP(A469,cennik!A:G,2,FALSE)</f>
        <v>SEVROLL 20299 Pax záslepka profilu (4 ks) biela lesk</v>
      </c>
      <c r="F469" s="437" t="str">
        <f>+VLOOKUP(A469,cennik!A:B,2,FALSE)</f>
        <v>SEVROLL 20299 Pax záslepka profilu (4 ks) biela lesk</v>
      </c>
      <c r="G469" s="439"/>
      <c r="H469" s="439"/>
      <c r="I469" s="439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čierna mat</v>
      </c>
      <c r="D470" s="1">
        <v>422012</v>
      </c>
      <c r="E470" s="48" t="str">
        <f>+VLOOKUP(A470,cennik!A:G,2,FALSE)</f>
        <v>SEVROLL 05327 Pax záslepka profilu (4 ks) čierna mat</v>
      </c>
      <c r="F470" s="48" t="str">
        <f>+VLOOKUP(A470,cennik!A:B,2,FALSE)</f>
        <v>SEVROLL 05327 Pax záslepka profilu (4 ks) čierna mat</v>
      </c>
      <c r="I470" s="1" t="str">
        <f>J17</f>
        <v>čierna mat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20208 brzda k lište Hide N a M</v>
      </c>
      <c r="F472" s="48" t="str">
        <f>+VLOOKUP(A472,cennik!A:B,2,FALSE)</f>
        <v>SEVROLL 20208 brzda k lište Hide N a M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 xml:space="preserve">3000-strieborná </v>
      </c>
      <c r="D473" s="49">
        <v>283904</v>
      </c>
      <c r="E473" s="48" t="str">
        <f>+VLOOKUP(A473,cennik!A:G,2,FALSE)</f>
        <v>SEVROLL 04318 Pax výztuha 3m strieborná</v>
      </c>
      <c r="F473" s="48" t="str">
        <f>+VLOOKUP(A473,cennik!A:B,2,FALSE)</f>
        <v>SEVROLL 04318 Pax výztuha 3m strieborná</v>
      </c>
      <c r="H473" s="1">
        <v>3000</v>
      </c>
      <c r="I473" s="1" t="str">
        <f>J4</f>
        <v xml:space="preserve">strieborná 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 xml:space="preserve">1500-strieborná </v>
      </c>
      <c r="D476" s="49">
        <v>224152</v>
      </c>
      <c r="E476" s="48" t="str">
        <f>+VLOOKUP(A476,cennik!A:G,2,FALSE)</f>
        <v>SEVROLL spodná krycia lišta Simple/Blue 1,5m (pre lamino 10mm) strieborná</v>
      </c>
      <c r="F476" s="48" t="str">
        <f>+VLOOKUP(A476,cennik!A:B,2,FALSE)</f>
        <v>SEVROLL spodná krycia lišta Simple/Blue 1,5m (pre lamino 10mm) strieborná</v>
      </c>
      <c r="H476" s="1">
        <v>1500</v>
      </c>
      <c r="I476" s="1" t="str">
        <f>CONCATENATE(H476,"-",J4)</f>
        <v xml:space="preserve">1500-strieborná 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 xml:space="preserve">2000-strieborná </v>
      </c>
      <c r="D477" s="49">
        <v>224153</v>
      </c>
      <c r="E477" s="48" t="str">
        <f>+VLOOKUP(A477,cennik!A:G,2,FALSE)</f>
        <v>SEVROLL spodná krycia lišta Simple/Blue 2m(pre lamino 10mm) strieborná</v>
      </c>
      <c r="F477" s="48" t="str">
        <f>+VLOOKUP(A477,cennik!A:B,2,FALSE)</f>
        <v>SEVROLL spodná krycia lišta Simple/Blue 2m(pre lamino 10mm) strieborná</v>
      </c>
      <c r="H477" s="1">
        <v>2000</v>
      </c>
      <c r="I477" s="1" t="str">
        <f>CONCATENATE(H477,"-",J4)</f>
        <v xml:space="preserve">2000-strieborná 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 xml:space="preserve">3000-strieborná </v>
      </c>
      <c r="D478" s="49">
        <v>222574</v>
      </c>
      <c r="E478" s="48" t="str">
        <f>+VLOOKUP(A478,cennik!A:G,2,FALSE)</f>
        <v>SEVROLL spodná krycia lišta Simple/Blue 3m (pre lamino 10mm) strieborná</v>
      </c>
      <c r="F478" s="48" t="str">
        <f>+VLOOKUP(A478,cennik!A:B,2,FALSE)</f>
        <v>SEVROLL spodná krycia lišta Simple/Blue 3m (pre lamino 10mm) strieborná</v>
      </c>
      <c r="H478" s="1">
        <v>3000</v>
      </c>
      <c r="I478" s="1" t="str">
        <f>CONCATENATE(H478,"-",J4)</f>
        <v xml:space="preserve">3000-strieborná 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1500-oliva</v>
      </c>
      <c r="D479" s="49">
        <v>224155</v>
      </c>
      <c r="E479" s="48" t="str">
        <f>+VLOOKUP(A479,cennik!A:G,2,FALSE)</f>
        <v>SEVROLL 03751 spodná krycia lišta Simple/Blue 1,5m (pre lamino 10mm) oliva</v>
      </c>
      <c r="F479" s="48" t="str">
        <f>+VLOOKUP(A479,cennik!A:B,2,FALSE)</f>
        <v>SEVROLL 03751 spodná krycia lišta Simple/Blue 1,5m (pre lamino 10mm) oliva</v>
      </c>
      <c r="H479" s="1">
        <v>1500</v>
      </c>
      <c r="I479" s="1" t="str">
        <f>CONCATENATE(H479,"-",J6)</f>
        <v>1500-oliva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2000-oliva</v>
      </c>
      <c r="D480" s="49">
        <v>224156</v>
      </c>
      <c r="E480" s="48" t="str">
        <f>+VLOOKUP(A480,cennik!A:G,2,FALSE)</f>
        <v>SEVROLL 03752 spodná krycia lišta Simple/Blue 2m (pre lamino 10mm) oliva</v>
      </c>
      <c r="F480" s="48" t="str">
        <f>+VLOOKUP(A480,cennik!A:B,2,FALSE)</f>
        <v>SEVROLL 03752 spodná krycia lišta Simple/Blue 2m (pre lamino 10mm) oliva</v>
      </c>
      <c r="H480" s="1">
        <v>2000</v>
      </c>
      <c r="I480" s="1" t="str">
        <f>CONCATENATE(H480,"-",J6)</f>
        <v>2000-oliva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3000-oliva</v>
      </c>
      <c r="D481" s="49">
        <v>223564</v>
      </c>
      <c r="E481" s="48" t="str">
        <f>+VLOOKUP(A481,cennik!A:G,2,FALSE)</f>
        <v>SEVROLL spodná krycia lišta Simple/Blue 3m (pre lamino 10mm) oliva</v>
      </c>
      <c r="F481" s="48" t="str">
        <f>+VLOOKUP(A481,cennik!A:B,2,FALSE)</f>
        <v>SEVROLL spodná krycia lišta Simple/Blue 3m (pre lamino 10mm) oliva</v>
      </c>
      <c r="H481" s="1">
        <v>3000</v>
      </c>
      <c r="I481" s="1" t="str">
        <f>CONCATENATE(H481,"-",J6)</f>
        <v>3000-oliva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 xml:space="preserve">1500-strieborná </v>
      </c>
      <c r="D483" s="49">
        <v>224137</v>
      </c>
      <c r="E483" s="48" t="str">
        <f>+VLOOKUP(A483,cennik!A:G,2,FALSE)</f>
        <v>SEVROLL 04452 spodná krycia lišta Simple/Blue 1,5m (pre lamino 18mm) strieborná</v>
      </c>
      <c r="F483" s="48" t="str">
        <f>+VLOOKUP(A483,cennik!A:B,2,FALSE)</f>
        <v>SEVROLL 04452 spodná krycia lišta Simple/Blue 1,5m (pre lamino 18mm) strieborná</v>
      </c>
      <c r="H483" s="1">
        <v>1500</v>
      </c>
      <c r="I483" s="1" t="str">
        <f>CONCATENATE(H483,"-",J4)</f>
        <v xml:space="preserve">1500-strieborná 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 xml:space="preserve">2000-strieborná </v>
      </c>
      <c r="D484" s="49">
        <v>224138</v>
      </c>
      <c r="E484" s="48" t="str">
        <f>+VLOOKUP(A484,cennik!A:G,2,FALSE)</f>
        <v>SEVROLL 04453 spodná krycia lišta Simple/Blue 2m (pre lamino 18mm) strieborná</v>
      </c>
      <c r="F484" s="48" t="str">
        <f>+VLOOKUP(A484,cennik!A:B,2,FALSE)</f>
        <v>SEVROLL 04453 spodná krycia lišta Simple/Blue 2m (pre lamino 18mm) strieborná</v>
      </c>
      <c r="H484" s="1">
        <v>2000</v>
      </c>
      <c r="I484" s="1" t="str">
        <f>CONCATENATE(H484,"-",J4)</f>
        <v xml:space="preserve">2000-strieborná 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 xml:space="preserve">3000-strieborná </v>
      </c>
      <c r="D485" s="49">
        <v>222572</v>
      </c>
      <c r="E485" s="48" t="str">
        <f>+VLOOKUP(A485,cennik!A:G,2,FALSE)</f>
        <v>SEVROLL 04455 spodná krycia lišta Simple/Blue 3m (pre lamino 18mm) strieborná</v>
      </c>
      <c r="F485" s="48" t="str">
        <f>+VLOOKUP(A485,cennik!A:B,2,FALSE)</f>
        <v>SEVROLL 04455 spodná krycia lišta Simple/Blue 3m (pre lamino 18mm) strieborná</v>
      </c>
      <c r="H485" s="1">
        <v>3000</v>
      </c>
      <c r="I485" s="1" t="str">
        <f>CONCATENATE(H485,"-",J4)</f>
        <v xml:space="preserve">3000-strieborná </v>
      </c>
      <c r="Z485" s="1" t="b">
        <f t="shared" si="9"/>
        <v>1</v>
      </c>
    </row>
    <row r="486" spans="1:26" ht="15" customHeight="1" x14ac:dyDescent="0.3">
      <c r="A486" s="1">
        <v>488235</v>
      </c>
      <c r="B486" s="450"/>
      <c r="C486" s="1" t="str">
        <f>CONCATENATE(H486,"-",J17)</f>
        <v>1500-čierna mat</v>
      </c>
      <c r="D486" s="1">
        <v>488235</v>
      </c>
      <c r="E486" s="48" t="str">
        <f>+VLOOKUP(A486,cennik!A:G,2,FALSE)</f>
        <v>SEVROLL 05747 spodná krycia lišta Simple/Blue 2m (pre lamino 18mm) čierna mat</v>
      </c>
      <c r="F486" s="48" t="str">
        <f>+VLOOKUP(A486,cennik!A:B,2,FALSE)</f>
        <v>SEVROLL 05747 spodná krycia lišta Simple/Blue 2m (pre lamino 18mm) čierna mat</v>
      </c>
      <c r="H486" s="1">
        <v>1500</v>
      </c>
      <c r="I486" s="1" t="str">
        <f>CONCATENATE(H486,"-",J17)</f>
        <v>1500-čierna mat</v>
      </c>
      <c r="Z486" s="1" t="b">
        <f t="shared" si="9"/>
        <v>1</v>
      </c>
    </row>
    <row r="487" spans="1:26" ht="15" customHeight="1" x14ac:dyDescent="0.3">
      <c r="A487" s="1">
        <v>488235</v>
      </c>
      <c r="B487" s="450"/>
      <c r="C487" s="1" t="str">
        <f>CONCATENATE(H487,"-",J17)</f>
        <v>2000-čierna mat</v>
      </c>
      <c r="D487" s="1">
        <v>488235</v>
      </c>
      <c r="E487" s="48" t="str">
        <f>+VLOOKUP(A487,cennik!A:G,2,FALSE)</f>
        <v>SEVROLL 05747 spodná krycia lišta Simple/Blue 2m (pre lamino 18mm) čierna mat</v>
      </c>
      <c r="F487" s="48" t="str">
        <f>+VLOOKUP(A487,cennik!A:B,2,FALSE)</f>
        <v>SEVROLL 05747 spodná krycia lišta Simple/Blue 2m (pre lamino 18mm) čierna mat</v>
      </c>
      <c r="H487" s="1">
        <v>2000</v>
      </c>
      <c r="I487" s="1" t="str">
        <f>CONCATENATE(H487,"-",J17)</f>
        <v>2000-čierna mat</v>
      </c>
      <c r="Z487" s="1" t="b">
        <f t="shared" si="9"/>
        <v>1</v>
      </c>
    </row>
    <row r="488" spans="1:26" ht="15" customHeight="1" x14ac:dyDescent="0.3">
      <c r="A488" s="1">
        <v>488236</v>
      </c>
      <c r="B488" s="450"/>
      <c r="C488" s="1" t="str">
        <f>CONCATENATE(H488,"-",J17)</f>
        <v>3000-čierna mat</v>
      </c>
      <c r="D488" s="1">
        <v>488236</v>
      </c>
      <c r="E488" s="48" t="str">
        <f>+VLOOKUP(A488,cennik!A:G,2,FALSE)</f>
        <v>SEVROLL 05748 spodná krycia lišta Simple/Blue 3m (pre lamino 18mm) čierna mat</v>
      </c>
      <c r="F488" s="48" t="str">
        <f>+VLOOKUP(A488,cennik!A:B,2,FALSE)</f>
        <v>SEVROLL 05748 spodná krycia lišta Simple/Blue 3m (pre lamino 18mm) čierna mat</v>
      </c>
      <c r="H488" s="1">
        <v>3000</v>
      </c>
      <c r="I488" s="1" t="str">
        <f>CONCATENATE(H488,"-",J17)</f>
        <v>3000-čierna mat</v>
      </c>
      <c r="Z488" s="1" t="b">
        <f t="shared" si="9"/>
        <v>1</v>
      </c>
    </row>
    <row r="489" spans="1:26" ht="15" customHeight="1" x14ac:dyDescent="0.3">
      <c r="A489" s="439">
        <v>394231</v>
      </c>
      <c r="B489" s="439"/>
      <c r="C489" s="439" t="str">
        <f>CONCATENATE(H489,"-",J15)</f>
        <v>1500-biela lesk</v>
      </c>
      <c r="D489" s="439">
        <v>394231</v>
      </c>
      <c r="E489" s="437" t="str">
        <f>+VLOOKUP(A489,cennik!A:G,2,FALSE)</f>
        <v>SEVROLL 04940 spodná krycia lišta Simple/Blue 2m (pre lamino 18mm) biely lesk</v>
      </c>
      <c r="F489" s="437" t="str">
        <f>+VLOOKUP(A489,cennik!A:B,2,FALSE)</f>
        <v>SEVROLL 04940 spodná krycia lišta Simple/Blue 2m (pre lamino 18mm) biely lesk</v>
      </c>
      <c r="G489" s="439"/>
      <c r="H489" s="439">
        <v>1500</v>
      </c>
      <c r="I489" s="439" t="str">
        <f>CONCATENATE(H489,"-",J15)</f>
        <v>1500-biela lesk</v>
      </c>
      <c r="Z489" s="1" t="b">
        <f t="shared" si="9"/>
        <v>1</v>
      </c>
    </row>
    <row r="490" spans="1:26" ht="15" customHeight="1" x14ac:dyDescent="0.3">
      <c r="A490" s="439">
        <v>394231</v>
      </c>
      <c r="B490" s="439"/>
      <c r="C490" s="439" t="str">
        <f>CONCATENATE(H490,"-",J15)</f>
        <v>2000-biela lesk</v>
      </c>
      <c r="D490" s="439">
        <v>394231</v>
      </c>
      <c r="E490" s="437" t="str">
        <f>+VLOOKUP(A490,cennik!A:G,2,FALSE)</f>
        <v>SEVROLL 04940 spodná krycia lišta Simple/Blue 2m (pre lamino 18mm) biely lesk</v>
      </c>
      <c r="F490" s="437" t="str">
        <f>+VLOOKUP(A490,cennik!A:B,2,FALSE)</f>
        <v>SEVROLL 04940 spodná krycia lišta Simple/Blue 2m (pre lamino 18mm) biely lesk</v>
      </c>
      <c r="G490" s="439"/>
      <c r="H490" s="439">
        <v>2000</v>
      </c>
      <c r="I490" s="439" t="str">
        <f>CONCATENATE(H490,"-",J15)</f>
        <v>2000-biela lesk</v>
      </c>
      <c r="Z490" s="1" t="b">
        <f t="shared" si="9"/>
        <v>1</v>
      </c>
    </row>
    <row r="491" spans="1:26" ht="15" customHeight="1" x14ac:dyDescent="0.3">
      <c r="A491" s="439">
        <v>394265</v>
      </c>
      <c r="B491" s="439"/>
      <c r="C491" s="439" t="str">
        <f>CONCATENATE(H491,"-",J15)</f>
        <v>3000-biela lesk</v>
      </c>
      <c r="D491" s="439">
        <v>394265</v>
      </c>
      <c r="E491" s="437" t="str">
        <f>+VLOOKUP(A491,cennik!A:G,2,FALSE)</f>
        <v>SEVROLL 04941 spodná krycia lišta Simple/Blue 3m (pre lamino 18mm) biely lesk</v>
      </c>
      <c r="F491" s="437" t="str">
        <f>+VLOOKUP(A491,cennik!A:B,2,FALSE)</f>
        <v>SEVROLL 04941 spodná krycia lišta Simple/Blue 3m (pre lamino 18mm) biely lesk</v>
      </c>
      <c r="G491" s="439"/>
      <c r="H491" s="439">
        <v>3000</v>
      </c>
      <c r="I491" s="439" t="str">
        <f>CONCATENATE(H491,"-",J15)</f>
        <v>3000-biela lesk</v>
      </c>
      <c r="Z491" s="1" t="b">
        <f t="shared" si="9"/>
        <v>1</v>
      </c>
    </row>
    <row r="492" spans="1:26" ht="15" customHeight="1" x14ac:dyDescent="0.3">
      <c r="A492" s="49">
        <v>224140</v>
      </c>
      <c r="B492" s="163"/>
      <c r="C492" s="1" t="str">
        <f>CONCATENATE(H492,"-",J6)</f>
        <v>1500-oliva</v>
      </c>
      <c r="D492" s="49">
        <v>224140</v>
      </c>
      <c r="E492" s="48" t="e">
        <f>+VLOOKUP(A492,cennik!A:G,2,FALSE)</f>
        <v>#N/A</v>
      </c>
      <c r="F492" s="48" t="e">
        <f>+VLOOKUP(A492,cennik!A:B,2,FALSE)</f>
        <v>#N/A</v>
      </c>
      <c r="H492" s="1">
        <v>1500</v>
      </c>
      <c r="I492" s="1" t="str">
        <f>CONCATENATE(H492,"-",J6)</f>
        <v>1500-oliva</v>
      </c>
      <c r="Z492" s="1" t="b">
        <f t="shared" si="9"/>
        <v>1</v>
      </c>
    </row>
    <row r="493" spans="1:26" s="430" customFormat="1" ht="15" customHeight="1" x14ac:dyDescent="0.3">
      <c r="A493" s="49">
        <v>224141</v>
      </c>
      <c r="B493" s="163"/>
      <c r="C493" s="1" t="str">
        <f>CONCATENATE(H493,"-",J6)</f>
        <v>2000-oliva</v>
      </c>
      <c r="D493" s="49">
        <v>224141</v>
      </c>
      <c r="E493" s="48" t="str">
        <f>+VLOOKUP(A493,cennik!A:G,2,FALSE)</f>
        <v>SEVROLL 04449 spodná krycia lišta Simple/Blue 2m (pre lamino 18mm) oliva</v>
      </c>
      <c r="F493" s="48" t="str">
        <f>+VLOOKUP(A493,cennik!A:B,2,FALSE)</f>
        <v>SEVROLL 04449 spodná krycia lišta Simple/Blue 2m (pre lamino 18mm) oliva</v>
      </c>
      <c r="G493" s="1"/>
      <c r="H493" s="1">
        <v>2000</v>
      </c>
      <c r="I493" s="1" t="str">
        <f>CONCATENATE(H493,"-",J6)</f>
        <v>2000-oliva</v>
      </c>
      <c r="Z493" s="1" t="b">
        <f t="shared" si="9"/>
        <v>1</v>
      </c>
    </row>
    <row r="494" spans="1:26" s="430" customFormat="1" ht="15" customHeight="1" x14ac:dyDescent="0.3">
      <c r="A494" s="49">
        <v>223562</v>
      </c>
      <c r="B494" s="163"/>
      <c r="C494" s="1" t="str">
        <f>CONCATENATE(H494,"-",J6)</f>
        <v>3000-oliva</v>
      </c>
      <c r="D494" s="49">
        <v>223562</v>
      </c>
      <c r="E494" s="48" t="str">
        <f>+VLOOKUP(A494,cennik!A:G,2,FALSE)</f>
        <v>SEVROLL 04451 spodná krycia lišta Simple/Blue 3m (pre lamino 18mm) oliva</v>
      </c>
      <c r="F494" s="48" t="str">
        <f>+VLOOKUP(A494,cennik!A:B,2,FALSE)</f>
        <v>SEVROLL 04451 spodná krycia lišta Simple/Blue 3m (pre lamino 18mm) oliva</v>
      </c>
      <c r="G494" s="1"/>
      <c r="H494" s="1">
        <v>3000</v>
      </c>
      <c r="I494" s="1" t="str">
        <f>CONCATENATE(H494,"-",J6)</f>
        <v>3000-oliva</v>
      </c>
      <c r="Z494" s="1" t="b">
        <f t="shared" si="9"/>
        <v>1</v>
      </c>
    </row>
    <row r="495" spans="1:26" s="430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30" customFormat="1" ht="15" customHeight="1" x14ac:dyDescent="0.3">
      <c r="A496" s="433">
        <v>89236</v>
      </c>
      <c r="B496" s="431" t="s">
        <v>29</v>
      </c>
      <c r="C496" s="430" t="str">
        <f t="shared" ref="C496:C501" si="10">J4</f>
        <v xml:space="preserve">strieborná </v>
      </c>
      <c r="D496" s="433">
        <v>89236</v>
      </c>
      <c r="E496" s="431" t="str">
        <f>+VLOOKUP(A496,cennik!A:G,2,FALSE)</f>
        <v>SEVROLL SPOJ.LIŠTA "H10" 3M STR.</v>
      </c>
      <c r="F496" s="431" t="str">
        <f>+VLOOKUP(A496,cennik!A:B,2,FALSE)</f>
        <v>SEVROLL SPOJ.LIŠTA "H10" 3M STR.</v>
      </c>
      <c r="G496" s="430" t="e">
        <f>+VLOOKUP(A496,#REF!,4,FALSE)</f>
        <v>#REF!</v>
      </c>
      <c r="I496" s="430" t="str">
        <f t="shared" ref="I496:I501" si="11">J4</f>
        <v xml:space="preserve">strieborná </v>
      </c>
      <c r="Z496" s="1" t="b">
        <f t="shared" si="9"/>
        <v>1</v>
      </c>
    </row>
    <row r="497" spans="1:26" s="430" customFormat="1" ht="15" customHeight="1" x14ac:dyDescent="0.3">
      <c r="A497" s="433">
        <v>89257</v>
      </c>
      <c r="B497" s="431"/>
      <c r="C497" s="430" t="str">
        <f t="shared" si="10"/>
        <v>zlatá</v>
      </c>
      <c r="D497" s="433">
        <v>89257</v>
      </c>
      <c r="E497" s="431" t="str">
        <f>+VLOOKUP(A497,cennik!A:G,2,FALSE)</f>
        <v>SEVROLL spojovacia lišta H10 3m zlatá</v>
      </c>
      <c r="F497" s="431" t="str">
        <f>+VLOOKUP(A497,cennik!A:B,2,FALSE)</f>
        <v>SEVROLL spojovacia lišta H10 3m zlatá</v>
      </c>
      <c r="G497" s="430" t="e">
        <f>+VLOOKUP(A497,#REF!,4,FALSE)</f>
        <v>#REF!</v>
      </c>
      <c r="I497" s="430" t="str">
        <f t="shared" si="11"/>
        <v>zlatá</v>
      </c>
      <c r="Z497" s="1" t="b">
        <f t="shared" si="9"/>
        <v>1</v>
      </c>
    </row>
    <row r="498" spans="1:26" s="430" customFormat="1" ht="15" customHeight="1" x14ac:dyDescent="0.3">
      <c r="A498" s="433">
        <v>89237</v>
      </c>
      <c r="B498" s="431"/>
      <c r="C498" s="430" t="str">
        <f t="shared" si="10"/>
        <v>oliva</v>
      </c>
      <c r="D498" s="433">
        <v>89237</v>
      </c>
      <c r="E498" s="431" t="str">
        <f>+VLOOKUP(A498,cennik!A:G,2,FALSE)</f>
        <v>SEVROLL 153 SPOJ.LIŠTA "H 10"3M OLIVOVÁ</v>
      </c>
      <c r="F498" s="431" t="str">
        <f>+VLOOKUP(A498,cennik!A:B,2,FALSE)</f>
        <v>SEVROLL 153 SPOJ.LIŠTA "H 10"3M OLIVOVÁ</v>
      </c>
      <c r="G498" s="430" t="e">
        <f>+VLOOKUP(A498,#REF!,4,FALSE)</f>
        <v>#REF!</v>
      </c>
      <c r="I498" s="430" t="str">
        <f t="shared" si="11"/>
        <v>oliva</v>
      </c>
      <c r="Z498" s="1" t="b">
        <f t="shared" si="9"/>
        <v>1</v>
      </c>
    </row>
    <row r="499" spans="1:26" s="430" customFormat="1" ht="15" customHeight="1" x14ac:dyDescent="0.3">
      <c r="A499" s="433">
        <v>121028</v>
      </c>
      <c r="B499" s="431"/>
      <c r="C499" s="430" t="str">
        <f t="shared" si="10"/>
        <v>oliva kartáčovaná</v>
      </c>
      <c r="D499" s="433">
        <v>121028</v>
      </c>
      <c r="E499" s="431" t="str">
        <f>+VLOOKUP(A499,cennik!A:G,2,FALSE)</f>
        <v>SEVROLL SPOJ.LIŠTA "H 10" 3M OLIVA kartáčovaná</v>
      </c>
      <c r="F499" s="431" t="str">
        <f>+VLOOKUP(A499,cennik!A:B,2,FALSE)</f>
        <v>SEVROLL SPOJ.LIŠTA "H 10" 3M OLIVA kartáčovaná</v>
      </c>
      <c r="I499" s="430" t="str">
        <f t="shared" si="11"/>
        <v>oliva kartáčovaná</v>
      </c>
      <c r="Z499" s="1" t="b">
        <f t="shared" si="9"/>
        <v>1</v>
      </c>
    </row>
    <row r="500" spans="1:26" s="430" customFormat="1" ht="15" customHeight="1" x14ac:dyDescent="0.3">
      <c r="A500" s="433">
        <v>205160</v>
      </c>
      <c r="B500" s="431"/>
      <c r="C500" s="430" t="str">
        <f t="shared" si="10"/>
        <v>kart. tm. oliva</v>
      </c>
      <c r="D500" s="433">
        <v>205160</v>
      </c>
      <c r="E500" s="431" t="str">
        <f>+VLOOKUP(A500,cennik!A:G,2,FALSE)</f>
        <v>SEVROLL 03104 spojovacia lišta H10 3m oliva tmavá kartáčovaná</v>
      </c>
      <c r="F500" s="431" t="str">
        <f>+VLOOKUP(A500,cennik!A:B,2,FALSE)</f>
        <v>SEVROLL 03104 spojovacia lišta H10 3m oliva tmavá kartáčovaná</v>
      </c>
      <c r="I500" s="430" t="str">
        <f t="shared" si="11"/>
        <v>kart. tm. oliva</v>
      </c>
      <c r="Z500" s="1" t="b">
        <f t="shared" si="9"/>
        <v>1</v>
      </c>
    </row>
    <row r="501" spans="1:26" s="430" customFormat="1" ht="15" customHeight="1" x14ac:dyDescent="0.3">
      <c r="A501" s="433">
        <v>205161</v>
      </c>
      <c r="B501" s="431"/>
      <c r="C501" s="430" t="str">
        <f t="shared" si="10"/>
        <v>kart. čierna</v>
      </c>
      <c r="D501" s="433">
        <v>205161</v>
      </c>
      <c r="E501" s="431" t="str">
        <f>+VLOOKUP(A501,cennik!A:G,2,FALSE)</f>
        <v>SEVROLL spoj.lišta H10 3m čierna kartáč</v>
      </c>
      <c r="F501" s="431" t="str">
        <f>+VLOOKUP(A501,cennik!A:B,2,FALSE)</f>
        <v>SEVROLL spoj.lišta H10 3m čierna kartáč</v>
      </c>
      <c r="I501" s="430" t="str">
        <f t="shared" si="11"/>
        <v>kart. čierna</v>
      </c>
      <c r="Z501" s="1" t="b">
        <f t="shared" si="9"/>
        <v>1</v>
      </c>
    </row>
    <row r="502" spans="1:26" ht="15" customHeight="1" x14ac:dyDescent="0.3">
      <c r="A502" s="433">
        <v>276739</v>
      </c>
      <c r="B502" s="431"/>
      <c r="C502" s="430" t="str">
        <f>J15</f>
        <v>biela lesk</v>
      </c>
      <c r="D502" s="433">
        <v>276739</v>
      </c>
      <c r="E502" s="431" t="str">
        <f>+VLOOKUP(A502,cennik!A:G,2,FALSE)</f>
        <v>SEVROLL 04050 spojovacia lišta H10 3m biela lesk</v>
      </c>
      <c r="F502" s="431" t="str">
        <f>+VLOOKUP(A502,cennik!A:B,2,FALSE)</f>
        <v>SEVROLL 04050 spojovacia lišta H10 3m biela lesk</v>
      </c>
      <c r="G502" s="430"/>
      <c r="H502" s="430"/>
      <c r="I502" s="430" t="str">
        <f>J15</f>
        <v>biela lesk</v>
      </c>
      <c r="Z502" s="1" t="b">
        <f t="shared" si="9"/>
        <v>1</v>
      </c>
    </row>
    <row r="503" spans="1:26" ht="15" customHeight="1" x14ac:dyDescent="0.3">
      <c r="A503" s="432">
        <v>497953</v>
      </c>
      <c r="B503" s="430"/>
      <c r="C503" s="430" t="str">
        <f>J18</f>
        <v>biela mat</v>
      </c>
      <c r="D503" s="432">
        <v>497953</v>
      </c>
      <c r="E503" s="431" t="str">
        <f>+VLOOKUP(A503,cennik!A:G,2,FALSE)</f>
        <v>SEVROLL 05181 spojovacia lišta H10 3m biela mat</v>
      </c>
      <c r="F503" s="431" t="str">
        <f>+VLOOKUP(A503,cennik!A:B,2,FALSE)</f>
        <v>SEVROLL 05181 spojovacia lišta H10 3m biela mat</v>
      </c>
      <c r="G503" s="430"/>
      <c r="H503" s="430"/>
      <c r="I503" s="430" t="str">
        <f>J18</f>
        <v>biela mat</v>
      </c>
    </row>
    <row r="504" spans="1:26" ht="15" customHeight="1" x14ac:dyDescent="0.3">
      <c r="A504" s="432">
        <v>395508</v>
      </c>
      <c r="B504" s="430"/>
      <c r="C504" s="430" t="str">
        <f>J16</f>
        <v>čierna lesk</v>
      </c>
      <c r="D504" s="432">
        <v>395508</v>
      </c>
      <c r="E504" s="431" t="str">
        <f>+VLOOKUP(A504,cennik!A:G,2,FALSE)</f>
        <v>SEVROLL 05182 spojovacia lišta H10 3m čierna lesk</v>
      </c>
      <c r="F504" s="431" t="str">
        <f>+VLOOKUP(A504,cennik!A:B,2,FALSE)</f>
        <v>SEVROLL 05182 spojovacia lišta H10 3m čierna lesk</v>
      </c>
      <c r="G504" s="431" t="e">
        <f>+VLOOKUP(C504,cennik!A:G,2,FALSE)</f>
        <v>#N/A</v>
      </c>
      <c r="H504" s="430"/>
      <c r="I504" s="430" t="str">
        <f>J16</f>
        <v>čierna lesk</v>
      </c>
      <c r="Z504" s="1" t="b">
        <f t="shared" si="9"/>
        <v>1</v>
      </c>
    </row>
    <row r="505" spans="1:26" ht="15" customHeight="1" x14ac:dyDescent="0.3">
      <c r="A505" s="432">
        <v>496358</v>
      </c>
      <c r="B505" s="430"/>
      <c r="C505" s="430" t="str">
        <f>J12</f>
        <v>grafit</v>
      </c>
      <c r="D505" s="432">
        <v>496358</v>
      </c>
      <c r="E505" s="431" t="str">
        <f>+VLOOKUP(A505,cennik!A:G,2,FALSE)</f>
        <v>SEVROLL 05971 spojovacia lišta H10 3m grafit</v>
      </c>
      <c r="F505" s="431" t="str">
        <f>+VLOOKUP(A505,cennik!A:B,2,FALSE)</f>
        <v>SEVROLL 05971 spojovacia lišta H10 3m grafit</v>
      </c>
      <c r="G505" s="430"/>
      <c r="H505" s="430"/>
      <c r="I505" s="430" t="str">
        <f>J12</f>
        <v>grafit</v>
      </c>
      <c r="Z505" s="1" t="b">
        <f t="shared" si="9"/>
        <v>1</v>
      </c>
    </row>
    <row r="506" spans="1:26" ht="15" customHeight="1" x14ac:dyDescent="0.3">
      <c r="A506" s="432">
        <v>452761</v>
      </c>
      <c r="B506" s="430"/>
      <c r="C506" s="430" t="str">
        <f>J17</f>
        <v>čierna mat</v>
      </c>
      <c r="D506" s="432">
        <v>452761</v>
      </c>
      <c r="E506" s="431" t="str">
        <f>+VLOOKUP(A506,cennik!A:G,2,FALSE)</f>
        <v>SEVROLL 05303 spojovacia lišta H10 3m čierna mat</v>
      </c>
      <c r="F506" s="431" t="str">
        <f>+VLOOKUP(A506,cennik!A:B,2,FALSE)</f>
        <v>SEVROLL 05303 spojovacia lišta H10 3m čierna mat</v>
      </c>
      <c r="G506" s="430"/>
      <c r="H506" s="430"/>
      <c r="I506" s="430" t="str">
        <f>J17</f>
        <v>čierna mat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30"/>
      <c r="C507" s="430" t="str">
        <f>J22</f>
        <v>čierna štrukturálna</v>
      </c>
      <c r="D507" s="196">
        <v>526501</v>
      </c>
      <c r="E507" s="431" t="str">
        <f>+VLOOKUP(A507,cennik!A:G,2,FALSE)</f>
        <v>SEVROLL 06125 spojovacia lišta H10 3m čierna štrukturálna</v>
      </c>
      <c r="F507" s="431" t="str">
        <f>+VLOOKUP(A507,cennik!A:B,2,FALSE)</f>
        <v>SEVROLL 06125 spojovacia lišta H10 3m čierna štrukturálna</v>
      </c>
      <c r="G507" s="430"/>
      <c r="H507" s="430"/>
      <c r="I507" s="430" t="str">
        <f>J22</f>
        <v>čierna štrukturálna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 xml:space="preserve">strieborná </v>
      </c>
      <c r="D508" s="49">
        <v>89069</v>
      </c>
      <c r="E508" s="48" t="str">
        <f>+VLOOKUP(A508,cennik!A:G,2,FALSE)</f>
        <v>SEVROLL 253S-SPOJ.LIŠTA H-30mm STR 3m</v>
      </c>
      <c r="F508" s="48" t="str">
        <f>+VLOOKUP(A508,cennik!A:B,2,FALSE)</f>
        <v>SEVROLL 253S-SPOJ.LIŠTA H-30mm STR 3m</v>
      </c>
      <c r="G508" s="1" t="e">
        <f>+VLOOKUP(A508,#REF!,4,FALSE)</f>
        <v>#REF!</v>
      </c>
      <c r="I508" s="1" t="str">
        <f t="shared" ref="I508:I513" si="14">J4</f>
        <v xml:space="preserve">strieborná 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zlatá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zlatá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oliva</v>
      </c>
      <c r="D510" s="49">
        <v>89071</v>
      </c>
      <c r="E510" s="48" t="str">
        <f>+VLOOKUP(A510,cennik!A:G,2,FALSE)</f>
        <v>SEVROLL 00219 spojovacia lišta H30 3m oliva</v>
      </c>
      <c r="F510" s="48" t="str">
        <f>+VLOOKUP(A510,cennik!A:B,2,FALSE)</f>
        <v>SEVROLL 00219 spojovacia lišta H30 3m oliva</v>
      </c>
      <c r="G510" s="1" t="e">
        <f>+VLOOKUP(A510,#REF!,4,FALSE)</f>
        <v>#REF!</v>
      </c>
      <c r="I510" s="1" t="str">
        <f t="shared" si="14"/>
        <v>oliva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oliva kartáčovaná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oliva kartáčovaná</v>
      </c>
      <c r="Z511" s="1" t="b">
        <f t="shared" si="12"/>
        <v>1</v>
      </c>
    </row>
    <row r="512" spans="1:26" s="430" customFormat="1" ht="15" customHeight="1" x14ac:dyDescent="0.3">
      <c r="A512" s="49" t="s">
        <v>111</v>
      </c>
      <c r="B512" s="48"/>
      <c r="C512" s="1" t="str">
        <f t="shared" si="13"/>
        <v>kart. tm. oliva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kart. tm. oliva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kart. čierna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kart. čierna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biela lesk</v>
      </c>
      <c r="D514" s="49">
        <v>308627</v>
      </c>
      <c r="E514" s="48" t="str">
        <f>+VLOOKUP(A514,cennik!A:G,2,FALSE)</f>
        <v>SEVROLL 03212 spojovacia lišta H30 3m biela lesk</v>
      </c>
      <c r="F514" s="48" t="str">
        <f>+VLOOKUP(A514,cennik!A:B,2,FALSE)</f>
        <v>SEVROLL 03212 spojovacia lišta H30 3m biela lesk</v>
      </c>
      <c r="I514" s="1" t="str">
        <f>J15</f>
        <v>biela lesk</v>
      </c>
      <c r="Z514" s="1" t="b">
        <f t="shared" si="12"/>
        <v>1</v>
      </c>
    </row>
    <row r="515" spans="1:26" ht="15" customHeight="1" x14ac:dyDescent="0.3">
      <c r="A515" s="430">
        <v>452604</v>
      </c>
      <c r="B515" s="430"/>
      <c r="C515" s="430" t="str">
        <f>J17</f>
        <v>čierna mat</v>
      </c>
      <c r="D515" s="430">
        <v>452604</v>
      </c>
      <c r="E515" s="431" t="str">
        <f>+VLOOKUP(A515,cennik!A:G,2,FALSE)</f>
        <v>SEVROLL 03606 spojovacia lišta H30 decor 3m čierna mat</v>
      </c>
      <c r="F515" s="431" t="str">
        <f>+VLOOKUP(A515,cennik!A:B,2,FALSE)</f>
        <v>SEVROLL 03606 spojovacia lišta H30 decor 3m čierna mat</v>
      </c>
      <c r="G515" s="430"/>
      <c r="H515" s="430"/>
      <c r="I515" s="430" t="str">
        <f>J17</f>
        <v>čierna mat</v>
      </c>
      <c r="Z515" s="1" t="b">
        <f t="shared" si="12"/>
        <v>1</v>
      </c>
    </row>
    <row r="516" spans="1:26" s="439" customFormat="1" ht="15" customHeight="1" x14ac:dyDescent="0.3">
      <c r="A516" s="49" t="s">
        <v>111</v>
      </c>
      <c r="B516" s="48"/>
      <c r="C516" s="430" t="str">
        <f>J16</f>
        <v>čierna lesk</v>
      </c>
      <c r="D516" s="49" t="s">
        <v>111</v>
      </c>
      <c r="E516" s="48"/>
      <c r="F516" s="48"/>
      <c r="G516" s="1"/>
      <c r="H516" s="1"/>
      <c r="I516" s="430" t="str">
        <f>J16</f>
        <v>čierna lesk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 xml:space="preserve">strieborná </v>
      </c>
      <c r="D517" s="49">
        <v>336796</v>
      </c>
      <c r="E517" s="48" t="str">
        <f>+VLOOKUP(A517,cennik!A:G,2,FALSE)</f>
        <v>SEVROLL 04447 spojovacia lišta Simple/Blue H21 3m (pre lamino 18mm) strieborná</v>
      </c>
      <c r="F517" s="48" t="str">
        <f>+VLOOKUP(A517,cennik!A:B,2,FALSE)</f>
        <v>SEVROLL 04447 spojovacia lišta Simple/Blue H21 3m (pre lamino 18mm) strieborná</v>
      </c>
      <c r="I517" s="1" t="str">
        <f>J4</f>
        <v xml:space="preserve">strieborná </v>
      </c>
      <c r="Z517" s="1" t="b">
        <f t="shared" si="12"/>
        <v>1</v>
      </c>
    </row>
    <row r="518" spans="1:26" ht="15" customHeight="1" x14ac:dyDescent="0.3">
      <c r="A518" s="2">
        <v>488239</v>
      </c>
      <c r="B518" s="449"/>
      <c r="C518" s="1" t="str">
        <f>J17</f>
        <v>čierna mat</v>
      </c>
      <c r="D518" s="2">
        <v>488239</v>
      </c>
      <c r="E518" s="48" t="str">
        <f>+VLOOKUP(A518,cennik!A:G,2,FALSE)</f>
        <v>SEVROLL 05746 spojovacia lišta Simple/Blue H21 3m (pre lamino 18mm) čierna mat</v>
      </c>
      <c r="F518" s="48" t="str">
        <f>+VLOOKUP(A518,cennik!A:B,2,FALSE)</f>
        <v>SEVROLL 05746 spojovacia lišta Simple/Blue H21 3m (pre lamino 18mm) čierna mat</v>
      </c>
      <c r="I518" s="1" t="str">
        <f>J17</f>
        <v>čierna mat</v>
      </c>
      <c r="Z518" s="1" t="b">
        <f t="shared" si="12"/>
        <v>1</v>
      </c>
    </row>
    <row r="519" spans="1:26" ht="15" customHeight="1" x14ac:dyDescent="0.3">
      <c r="A519" s="439">
        <v>394273</v>
      </c>
      <c r="B519" s="439"/>
      <c r="C519" s="439" t="str">
        <f>J15</f>
        <v>biela lesk</v>
      </c>
      <c r="D519" s="439">
        <v>394273</v>
      </c>
      <c r="E519" s="437" t="str">
        <f>+VLOOKUP(A519,cennik!A:G,2,FALSE)</f>
        <v>SEVROLL 04929 spojovacia lišta Simple/Blue H21 3m (pre lamino 18mm) biely lesk</v>
      </c>
      <c r="F519" s="437" t="str">
        <f>+VLOOKUP(A519,cennik!A:B,2,FALSE)</f>
        <v>SEVROLL 04929 spojovacia lišta Simple/Blue H21 3m (pre lamino 18mm) biely lesk</v>
      </c>
      <c r="G519" s="439"/>
      <c r="H519" s="439"/>
      <c r="I519" s="439" t="str">
        <f>J15</f>
        <v>biela lesk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oliva</v>
      </c>
      <c r="D520" s="49">
        <v>224158</v>
      </c>
      <c r="E520" s="48" t="str">
        <f>+VLOOKUP(A520,cennik!A:G,2,FALSE)</f>
        <v>SEVROLL 04446 spojovacia lišta Simple/Blue H21 3m (pre lamino 18mm) oliva</v>
      </c>
      <c r="F520" s="48" t="str">
        <f>+VLOOKUP(A520,cennik!A:B,2,FALSE)</f>
        <v>SEVROLL 04446 spojovacia lišta Simple/Blue H21 3m (pre lamino 18mm) oliva</v>
      </c>
      <c r="I520" s="1" t="str">
        <f>J6</f>
        <v>oliva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 xml:space="preserve">strieborná </v>
      </c>
      <c r="D521" s="49">
        <v>328825</v>
      </c>
      <c r="E521" s="48" t="str">
        <f>+VLOOKUP(A521,cennik!A:G,2,FALSE)</f>
        <v>SEVROLL 04445 spojovacia lišta Simple/Blue H28 3m (pre lamino 18mm) strieborná</v>
      </c>
      <c r="F521" s="48" t="str">
        <f>+VLOOKUP(A521,cennik!A:B,2,FALSE)</f>
        <v>SEVROLL 04445 spojovacia lišta Simple/Blue H28 3m (pre lamino 18mm) strieborná</v>
      </c>
      <c r="I521" s="1" t="str">
        <f>J4</f>
        <v xml:space="preserve">strieborná </v>
      </c>
      <c r="Z521" s="1" t="b">
        <f t="shared" si="12"/>
        <v>1</v>
      </c>
    </row>
    <row r="522" spans="1:26" ht="15" customHeight="1" x14ac:dyDescent="0.3">
      <c r="A522" s="439">
        <v>394281</v>
      </c>
      <c r="B522" s="439"/>
      <c r="C522" s="439" t="str">
        <f>J15</f>
        <v>biela lesk</v>
      </c>
      <c r="D522" s="439">
        <v>394281</v>
      </c>
      <c r="E522" s="437" t="str">
        <f>+VLOOKUP(A522,cennik!A:G,2,FALSE)</f>
        <v>SEVROLL 04932 spojovacia lišta Simple/Blue H28 3m (pre lamino 18mm) biely lesk</v>
      </c>
      <c r="F522" s="437" t="str">
        <f>+VLOOKUP(A522,cennik!A:B,2,FALSE)</f>
        <v>SEVROLL 04932 spojovacia lišta Simple/Blue H28 3m (pre lamino 18mm) biely lesk</v>
      </c>
      <c r="G522" s="439"/>
      <c r="H522" s="439"/>
      <c r="I522" s="439" t="str">
        <f>J15</f>
        <v>biela lesk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oliva</v>
      </c>
      <c r="D523" s="49">
        <v>223560</v>
      </c>
      <c r="E523" s="48" t="str">
        <f>+VLOOKUP(A523,cennik!A:G,2,FALSE)</f>
        <v>SEVROLL 04444 spojovacia lišta Simple/Blue H28 3m (pre lamino 18mm) oliva</v>
      </c>
      <c r="F523" s="48" t="str">
        <f>+VLOOKUP(A523,cennik!A:B,2,FALSE)</f>
        <v>SEVROLL 04444 spojovacia lišta Simple/Blue H28 3m (pre lamino 18mm) oliva</v>
      </c>
      <c r="I523" s="1" t="str">
        <f>J6</f>
        <v>oliva</v>
      </c>
      <c r="Z523" s="1" t="b">
        <f t="shared" si="12"/>
        <v>1</v>
      </c>
    </row>
    <row r="524" spans="1:26" ht="15" customHeight="1" x14ac:dyDescent="0.3">
      <c r="A524" s="451" t="s">
        <v>111</v>
      </c>
      <c r="B524" s="48"/>
      <c r="C524" s="1" t="str">
        <f>J17</f>
        <v>čierna mat</v>
      </c>
      <c r="D524" s="451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 xml:space="preserve">strieborná </v>
      </c>
      <c r="D525" s="49">
        <v>98070</v>
      </c>
      <c r="E525" s="48" t="str">
        <f>+VLOOKUP(A525,cennik!A:G,2,FALSE)</f>
        <v>SEVROLL Gemini-2 úch.lišta 2,7m strieborná</v>
      </c>
      <c r="F525" s="48" t="str">
        <f>+VLOOKUP(A525,cennik!A:B,2,FALSE)</f>
        <v>SEVROLL Gemini-2 úch.lišta 2,7m strieborná</v>
      </c>
      <c r="G525" s="1" t="e">
        <f>+VLOOKUP(A525,#REF!,4,FALSE)</f>
        <v>#REF!</v>
      </c>
      <c r="I525" s="1" t="str">
        <f>J4</f>
        <v xml:space="preserve">strieborná 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čierna mat</v>
      </c>
      <c r="D526" s="49">
        <v>278164</v>
      </c>
      <c r="E526" s="48" t="str">
        <f>+VLOOKUP(A526,cennik!A:G,2,FALSE)</f>
        <v>SEVROLL 03607 Gemini úchytová lišta 2,7m čierna mat</v>
      </c>
      <c r="F526" s="48" t="str">
        <f>+VLOOKUP(A526,cennik!A:B,2,FALSE)</f>
        <v>SEVROLL 03607 Gemini úchytová lišta 2,7m čierna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oliva</v>
      </c>
      <c r="D527" s="49">
        <v>98071</v>
      </c>
      <c r="E527" s="48" t="str">
        <f>+VLOOKUP(A527,cennik!A:G,2,FALSE)</f>
        <v>SEVROLL Gemini-2 úch.lišta 2,7m oliva</v>
      </c>
      <c r="F527" s="48" t="str">
        <f>+VLOOKUP(A527,cennik!A:B,2,FALSE)</f>
        <v>SEVROLL Gemini-2 úch.lišta 2,7m oliva</v>
      </c>
      <c r="G527" s="1" t="e">
        <f>+VLOOKUP(A527,#REF!,4,FALSE)</f>
        <v>#REF!</v>
      </c>
      <c r="I527" s="1" t="str">
        <f>J6</f>
        <v>oliva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 xml:space="preserve">strieborná </v>
      </c>
      <c r="D528" s="48">
        <v>394690</v>
      </c>
      <c r="E528" s="48" t="str">
        <f>+VLOOKUP(A528,cennik!A:G,2,FALSE)</f>
        <v>SEVROLL 04920-A Lynx úchytová lišta 2,7m strieborná</v>
      </c>
      <c r="F528" s="48" t="str">
        <f>+VLOOKUP(A528,cennik!A:B,2,FALSE)</f>
        <v>SEVROLL 04920-A Lynx úchytová lišta 2,7m strieborná</v>
      </c>
      <c r="I528" s="1" t="str">
        <f>J4</f>
        <v xml:space="preserve">strieborná 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oliva</v>
      </c>
      <c r="D529" s="48">
        <v>394691</v>
      </c>
      <c r="E529" s="48" t="str">
        <f>+VLOOKUP(A529,cennik!A:G,2,FALSE)</f>
        <v>SEVROLL 04920 Lynx úchytová lišta 2,7m oliva</v>
      </c>
      <c r="F529" s="48" t="str">
        <f>+VLOOKUP(A529,cennik!A:B,2,FALSE)</f>
        <v>SEVROLL 04920 Lynx úchytová lišta 2,7m oliva</v>
      </c>
      <c r="I529" s="1" t="str">
        <f>J6</f>
        <v>oliva</v>
      </c>
      <c r="Z529" s="1" t="b">
        <f t="shared" si="12"/>
        <v>1</v>
      </c>
    </row>
    <row r="530" spans="1:26" ht="15" customHeight="1" x14ac:dyDescent="0.3">
      <c r="A530" s="49">
        <v>98072</v>
      </c>
      <c r="B530" s="48"/>
      <c r="C530" s="1" t="str">
        <f>J5</f>
        <v>zlatá</v>
      </c>
      <c r="D530" s="49">
        <v>98072</v>
      </c>
      <c r="E530" s="48" t="str">
        <f>+VLOOKUP(A530,cennik!A:G,2,FALSE)</f>
        <v>SEVROLL Gemini Gemini-2 úchytová lišta 2,7m</v>
      </c>
      <c r="F530" s="48" t="str">
        <f>+VLOOKUP(A530,cennik!A:B,2,FALSE)</f>
        <v>SEVROLL Gemini Gemini-2 úchytová lišta 2,7m</v>
      </c>
      <c r="G530" s="1" t="e">
        <f>+VLOOKUP(A530,#REF!,4,FALSE)</f>
        <v>#REF!</v>
      </c>
      <c r="I530" s="1" t="str">
        <f>J5</f>
        <v>zlatá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čierna štrukturálna</v>
      </c>
      <c r="D531" s="196">
        <v>525015</v>
      </c>
      <c r="E531" s="48" t="str">
        <f>+VLOOKUP(A531,cennik!A:G,2,FALSE)</f>
        <v>SEVROLL 06370 Gemini úchytová lišta 2,7m čierna štrukturálna</v>
      </c>
      <c r="F531" s="48" t="str">
        <f>+VLOOKUP(A531,cennik!A:B,2,FALSE)</f>
        <v>SEVROLL 06370 Gemini úchytová lišta 2,7m čierna štrukturálna</v>
      </c>
      <c r="G531" s="1" t="e">
        <f>+VLOOKUP(A531,#REF!,4,FALSE)</f>
        <v>#REF!</v>
      </c>
      <c r="I531" s="1" t="str">
        <f>J22</f>
        <v>čierna štrukturálna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 xml:space="preserve">strieborná </v>
      </c>
      <c r="D532" s="49">
        <v>135366</v>
      </c>
      <c r="E532" s="48" t="str">
        <f>+VLOOKUP(A532,cennik!A:G,2,FALSE)</f>
        <v>SEVROLL ROMEO II ÚCH.LIŠTA 2,7 M STR.</v>
      </c>
      <c r="F532" s="48" t="str">
        <f>+VLOOKUP(A532,cennik!A:B,2,FALSE)</f>
        <v>SEVROLL ROMEO II ÚCH.LIŠTA 2,7 M STR.</v>
      </c>
      <c r="G532" s="1" t="e">
        <f>+VLOOKUP(A532,#REF!,4,FALSE)</f>
        <v>#REF!</v>
      </c>
      <c r="I532" s="1" t="str">
        <f>J4</f>
        <v xml:space="preserve">strieborná 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oliva</v>
      </c>
      <c r="D533" s="49">
        <v>135365</v>
      </c>
      <c r="E533" s="48" t="str">
        <f>+VLOOKUP(A533,cennik!A:G,2,FALSE)</f>
        <v>SEVROLL Romeo II úch.lišta 2,7m oliva</v>
      </c>
      <c r="F533" s="48" t="str">
        <f>+VLOOKUP(A533,cennik!A:B,2,FALSE)</f>
        <v>SEVROLL Romeo II úch.lišta 2,7m oliva</v>
      </c>
      <c r="G533" s="1" t="e">
        <f>+VLOOKUP(A533,#REF!,4,FALSE)</f>
        <v>#REF!</v>
      </c>
      <c r="I533" s="1" t="str">
        <f>J6</f>
        <v>oliva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 xml:space="preserve">strieborná </v>
      </c>
      <c r="D535" s="49">
        <v>135344</v>
      </c>
      <c r="E535" s="48" t="str">
        <f>+VLOOKUP(A535,cennik!A:G,2,FALSE)</f>
        <v>SEVROLL Julia II úch.lišta 2,7m strieborná</v>
      </c>
      <c r="F535" s="48" t="str">
        <f>+VLOOKUP(A535,cennik!A:B,2,FALSE)</f>
        <v>SEVROLL Julia II úch.lišta 2,7m strieborná</v>
      </c>
      <c r="G535" s="1" t="e">
        <f>+VLOOKUP(A535,#REF!,4,FALSE)</f>
        <v>#REF!</v>
      </c>
      <c r="I535" s="1" t="str">
        <f>J4</f>
        <v xml:space="preserve">strieborná 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oliva</v>
      </c>
      <c r="D536" s="49">
        <v>135342</v>
      </c>
      <c r="E536" s="48" t="str">
        <f>+VLOOKUP(A536,cennik!A:G,2,FALSE)</f>
        <v>SEVROLL Julia II úch.lišta 2,7m oliva</v>
      </c>
      <c r="F536" s="48" t="str">
        <f>+VLOOKUP(A536,cennik!A:B,2,FALSE)</f>
        <v>SEVROLL Julia II úch.lišta 2,7m oliva</v>
      </c>
      <c r="G536" s="1" t="e">
        <f>+VLOOKUP(A536,#REF!,4,FALSE)</f>
        <v>#REF!</v>
      </c>
      <c r="I536" s="1" t="str">
        <f>J6</f>
        <v>oliva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oliva</v>
      </c>
      <c r="D538" s="195">
        <v>223573</v>
      </c>
      <c r="E538" s="48" t="str">
        <f>+VLOOKUP(A538,cennik!A:G,2,FALSE)</f>
        <v>SEVROLL karat úchytová lišta 2,7m oliva</v>
      </c>
      <c r="F538" s="48" t="str">
        <f>+VLOOKUP(A538,cennik!A:B,2,FALSE)</f>
        <v>SEVROLL karat úchytová lišta 2,7m oliva</v>
      </c>
      <c r="I538" s="1" t="str">
        <f>J6</f>
        <v>oliva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 xml:space="preserve">strieborná </v>
      </c>
      <c r="D539" s="195">
        <v>223572</v>
      </c>
      <c r="E539" s="48" t="str">
        <f>+VLOOKUP(A539,cennik!A:G,2,FALSE)</f>
        <v>SEVROLL Karat úch.lišta 2,7m str</v>
      </c>
      <c r="F539" s="48" t="str">
        <f>+VLOOKUP(A539,cennik!A:B,2,FALSE)</f>
        <v>SEVROLL Karat úch.lišta 2,7m str</v>
      </c>
      <c r="I539" s="1" t="str">
        <f>J4</f>
        <v xml:space="preserve">strieborná 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 xml:space="preserve">strieborná </v>
      </c>
      <c r="D542" s="49">
        <v>179229</v>
      </c>
      <c r="E542" s="48" t="str">
        <f>+VLOOKUP(A542,cennik!A:G,2,FALSE)</f>
        <v>SEVROLL Future II úch.lišta 2,7m strieborná</v>
      </c>
      <c r="F542" s="48" t="str">
        <f>+VLOOKUP(A542,cennik!A:B,2,FALSE)</f>
        <v>SEVROLL Future II úch.lišta 2,7m strieborná</v>
      </c>
      <c r="G542" s="1" t="e">
        <f>+VLOOKUP(A542,#REF!,4,FALSE)</f>
        <v>#REF!</v>
      </c>
      <c r="I542" s="1" t="str">
        <f>J4</f>
        <v xml:space="preserve">strieborná 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oliva</v>
      </c>
      <c r="D543" s="49">
        <v>179230</v>
      </c>
      <c r="E543" s="48" t="str">
        <f>+VLOOKUP(A543,cennik!A:G,2,FALSE)</f>
        <v>SEVROLL 03046 Future II úchytová lišta 2,7m oliva</v>
      </c>
      <c r="F543" s="48" t="str">
        <f>+VLOOKUP(A543,cennik!A:B,2,FALSE)</f>
        <v>SEVROLL 03046 Future II úchytová lišta 2,7m oliva</v>
      </c>
      <c r="G543" s="1" t="e">
        <f>+VLOOKUP(A543,#REF!,4,FALSE)</f>
        <v>#REF!</v>
      </c>
      <c r="I543" s="1" t="str">
        <f>J6</f>
        <v>oliva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 xml:space="preserve">strieborná </v>
      </c>
      <c r="D545" s="58">
        <v>179224</v>
      </c>
      <c r="E545" s="48" t="str">
        <f>+VLOOKUP(A545,cennik!A:G,2,FALSE)</f>
        <v>SEVROLL FUTURE II ÚCH.LIŠTA 3,5 M str.</v>
      </c>
      <c r="F545" s="48" t="str">
        <f>+VLOOKUP(A545,cennik!A:B,2,FALSE)</f>
        <v>SEVROLL FUTURE II ÚCH.LIŠTA 3,5 M str.</v>
      </c>
      <c r="I545" s="1" t="str">
        <f>J4</f>
        <v xml:space="preserve">strieborná 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oliva</v>
      </c>
      <c r="D546" s="58">
        <v>179227</v>
      </c>
      <c r="E546" s="48" t="str">
        <f>+VLOOKUP(A546,cennik!A:G,2,FALSE)</f>
        <v>SEVROLL 03047 Future II úchytová lišta 3,5m oliva</v>
      </c>
      <c r="F546" s="48" t="str">
        <f>+VLOOKUP(A546,cennik!A:B,2,FALSE)</f>
        <v>SEVROLL 03047 Future II úchytová lišta 3,5m oliva</v>
      </c>
      <c r="I546" s="1" t="str">
        <f>J6</f>
        <v>oliva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 xml:space="preserve">strieborná </v>
      </c>
      <c r="D548" s="169">
        <v>100102</v>
      </c>
      <c r="E548" s="48" t="str">
        <f>+VLOOKUP(A548,cennik!A:G,2,FALSE)</f>
        <v>SEVROLL 02376 Master úchytová lišta 2,7m strieborná</v>
      </c>
      <c r="F548" s="48" t="str">
        <f>+VLOOKUP(A548,cennik!A:B,2,FALSE)</f>
        <v>SEVROLL 02376 Master úchytová lišta 2,7m strieborná</v>
      </c>
      <c r="I548" s="1" t="str">
        <f>J4</f>
        <v xml:space="preserve">strieborná 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oliva</v>
      </c>
      <c r="D549" s="169">
        <v>100103</v>
      </c>
      <c r="E549" s="48" t="str">
        <f>+VLOOKUP(A549,cennik!A:G,2,FALSE)</f>
        <v>SEVROLL 02377 Master úchytová lišta 2,7m oliva</v>
      </c>
      <c r="F549" s="48" t="str">
        <f>+VLOOKUP(A549,cennik!A:B,2,FALSE)</f>
        <v>SEVROLL 02377 Master úchytová lišta 2,7m oliva</v>
      </c>
      <c r="I549" s="1" t="str">
        <f>J6</f>
        <v>oliva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 xml:space="preserve">strieborná </v>
      </c>
      <c r="D550" s="169">
        <v>100105</v>
      </c>
      <c r="E550" s="48" t="str">
        <f>+VLOOKUP(A550,cennik!A:G,2,FALSE)</f>
        <v>SEVROLL Master úch.lišta 3m strieborná</v>
      </c>
      <c r="F550" s="48" t="str">
        <f>+VLOOKUP(A550,cennik!A:B,2,FALSE)</f>
        <v>SEVROLL Master úch.lišta 3m strieborná</v>
      </c>
      <c r="I550" s="1" t="str">
        <f>J4</f>
        <v xml:space="preserve">strieborná 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oliva</v>
      </c>
      <c r="D551" s="169">
        <v>100106</v>
      </c>
      <c r="E551" s="48" t="str">
        <f>+VLOOKUP(A551,cennik!A:G,2,FALSE)</f>
        <v>SEVROLL 02380 Master úchytová lišta 3m oliva</v>
      </c>
      <c r="F551" s="48" t="str">
        <f>+VLOOKUP(A551,cennik!A:B,2,FALSE)</f>
        <v>SEVROLL 02380 Master úchytová lišta 3m oliva</v>
      </c>
      <c r="I551" s="1" t="str">
        <f>J6</f>
        <v>oliva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 xml:space="preserve">strieborná </v>
      </c>
      <c r="D553" s="169">
        <v>215234</v>
      </c>
      <c r="E553" s="48" t="str">
        <f>+VLOOKUP(A553,cennik!A:G,2,FALSE)</f>
        <v>SEVROLL Polo úch.lišta 10mm 2,70m strieborná</v>
      </c>
      <c r="F553" s="48" t="str">
        <f>+VLOOKUP(A553,cennik!A:B,2,FALSE)</f>
        <v>SEVROLL Polo úch.lišta 10mm 2,70m strieborná</v>
      </c>
      <c r="I553" s="1" t="str">
        <f>J4</f>
        <v xml:space="preserve">strieborná 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oliva</v>
      </c>
      <c r="D554">
        <v>223551</v>
      </c>
      <c r="E554" s="48" t="str">
        <f>+VLOOKUP(A554,cennik!A:G,2,FALSE)</f>
        <v>SEVROLL Polo úchytová lišta 10mm 2,7m oliva</v>
      </c>
      <c r="F554" s="48" t="str">
        <f>+VLOOKUP(A554,cennik!A:B,2,FALSE)</f>
        <v>SEVROLL Polo úchytová lišta 10mm 2,7m oliva</v>
      </c>
      <c r="I554" s="1" t="str">
        <f>J6</f>
        <v>oliva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 xml:space="preserve">strieborná </v>
      </c>
      <c r="D556" s="169">
        <v>215233</v>
      </c>
      <c r="E556" s="48" t="str">
        <f>+VLOOKUP(A556,cennik!A:G,2,FALSE)</f>
        <v>SEVROLL Fala úch.lišta 10mm 2,70m strieborná</v>
      </c>
      <c r="F556" s="48" t="str">
        <f>+VLOOKUP(A556,cennik!A:B,2,FALSE)</f>
        <v>SEVROLL Fala úch.lišta 10mm 2,70m strieborná</v>
      </c>
      <c r="I556" s="1" t="str">
        <f>J4</f>
        <v xml:space="preserve">strieborná 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oliva</v>
      </c>
      <c r="D557" s="169">
        <v>223550</v>
      </c>
      <c r="E557" s="48" t="str">
        <f>+VLOOKUP(A557,cennik!A:G,2,FALSE)</f>
        <v>SEVROLL Fala úchytová lišta 10mm 2,70m oliva</v>
      </c>
      <c r="F557" s="48" t="str">
        <f>+VLOOKUP(A557,cennik!A:B,2,FALSE)</f>
        <v>SEVROLL Fala úchytová lišta 10mm 2,70m oliva</v>
      </c>
      <c r="I557" s="1" t="str">
        <f>J6</f>
        <v>oliva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 xml:space="preserve">strieborná </v>
      </c>
      <c r="D559" s="169">
        <v>349474</v>
      </c>
      <c r="E559" s="48" t="str">
        <f>+VLOOKUP(A559,cennik!A:G,2,FALSE)</f>
        <v>SEVROLL 04512 Era úchytová lišta 18mm 2,70m strieborná</v>
      </c>
      <c r="F559" s="48" t="str">
        <f>+VLOOKUP(A559,cennik!A:B,2,FALSE)</f>
        <v>SEVROLL 04512 Era úchytová lišta 18mm 2,70m strieborná</v>
      </c>
      <c r="I559" s="1" t="str">
        <f>J4</f>
        <v xml:space="preserve">strieborná 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čierna mat</v>
      </c>
      <c r="D560" s="58">
        <v>488246</v>
      </c>
      <c r="E560" s="48" t="str">
        <f>+VLOOKUP(A560,cennik!A:G,2,FALSE)</f>
        <v>SEVROLL 05745 Era úchytová lišta 18mm 2,70m čierna mat</v>
      </c>
      <c r="F560" s="48" t="str">
        <f>+VLOOKUP(A560,cennik!A:B,2,FALSE)</f>
        <v>SEVROLL 05745 Era úchytová lišta 18mm 2,70m čierna mat</v>
      </c>
      <c r="Z560" s="1" t="b">
        <f t="shared" si="12"/>
        <v>1</v>
      </c>
    </row>
    <row r="561" spans="1:26" ht="15" customHeight="1" x14ac:dyDescent="0.3">
      <c r="A561" s="439">
        <v>372603</v>
      </c>
      <c r="B561" s="439"/>
      <c r="C561" s="439" t="str">
        <f>J15</f>
        <v>biela lesk</v>
      </c>
      <c r="D561" s="439">
        <v>372603</v>
      </c>
      <c r="E561" s="437" t="str">
        <f>+VLOOKUP(A561,cennik!A:G,2,FALSE)</f>
        <v>SEVROLL 04933 Era úchytová lišta 18mm 2,70m biely lesk</v>
      </c>
      <c r="F561" s="437" t="str">
        <f>+VLOOKUP(A561,cennik!A:B,2,FALSE)</f>
        <v>SEVROLL 04933 Era úchytová lišta 18mm 2,70m biely lesk</v>
      </c>
      <c r="G561" s="439"/>
      <c r="H561" s="439"/>
      <c r="I561" s="439" t="str">
        <f>J15</f>
        <v>biela lesk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oliva</v>
      </c>
      <c r="D562" s="169">
        <v>349794</v>
      </c>
      <c r="E562" s="48" t="str">
        <f>+VLOOKUP(A562,cennik!A:G,2,FALSE)</f>
        <v>SEVROLL 04511 Era úchytová lišta 18mm 2,70m oliva</v>
      </c>
      <c r="F562" s="48" t="str">
        <f>+VLOOKUP(A562,cennik!A:B,2,FALSE)</f>
        <v>SEVROLL 04511 Era úchytová lišta 18mm 2,70m oliva</v>
      </c>
      <c r="I562" s="1" t="str">
        <f>J6</f>
        <v>oliva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 xml:space="preserve">strieborná </v>
      </c>
      <c r="D564" s="169">
        <v>341559</v>
      </c>
      <c r="E564" s="48" t="str">
        <f>+VLOOKUP(A564,cennik!A:G,2,FALSE)</f>
        <v>SEVROLL 04748 Rekord úchytová lišta 18mm 2,70m strieborná</v>
      </c>
      <c r="F564" s="48" t="str">
        <f>+VLOOKUP(A564,cennik!A:B,2,FALSE)</f>
        <v>SEVROLL 04748 Rekord úchytová lišta 18mm 2,70m strieborná</v>
      </c>
      <c r="I564" s="1" t="str">
        <f>J4</f>
        <v xml:space="preserve">strieborná 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čierna mat</v>
      </c>
      <c r="D565" s="169">
        <v>488247</v>
      </c>
      <c r="E565" s="48" t="str">
        <f>+VLOOKUP(A565,cennik!A:G,2,FALSE)</f>
        <v>SEVROLL 05909 Rekord úchytová lišta 18mm 2,70m čierna mat</v>
      </c>
      <c r="F565" s="48" t="str">
        <f>+VLOOKUP(A565,cennik!A:B,2,FALSE)</f>
        <v>SEVROLL 05909 Rekord úchytová lišta 18mm 2,70m čierna mat</v>
      </c>
      <c r="Z565" s="1" t="b">
        <f t="shared" si="12"/>
        <v>1</v>
      </c>
    </row>
    <row r="566" spans="1:26" s="442" customFormat="1" ht="15" customHeight="1" x14ac:dyDescent="0.3">
      <c r="A566" s="169">
        <v>341560</v>
      </c>
      <c r="B566" s="48"/>
      <c r="C566" s="1" t="str">
        <f>J6</f>
        <v>oliva</v>
      </c>
      <c r="D566" s="169">
        <v>341560</v>
      </c>
      <c r="E566" s="48" t="str">
        <f>+VLOOKUP(A566,cennik!A:G,2,FALSE)</f>
        <v>SEVROLL 04747 Rekord úchytová lišta 18mm 2,70m oliva</v>
      </c>
      <c r="F566" s="48" t="str">
        <f>+VLOOKUP(A566,cennik!A:B,2,FALSE)</f>
        <v>SEVROLL 04747 Rekord úchytová lišta 18mm 2,70m oliva</v>
      </c>
      <c r="G566" s="1"/>
      <c r="H566" s="1"/>
      <c r="I566" s="1" t="str">
        <f>J6</f>
        <v>oliva</v>
      </c>
      <c r="Z566" s="1" t="b">
        <f t="shared" si="12"/>
        <v>1</v>
      </c>
    </row>
    <row r="567" spans="1:26" s="442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42" customFormat="1" ht="15" customHeight="1" x14ac:dyDescent="0.3">
      <c r="A568" s="444">
        <v>222788</v>
      </c>
      <c r="B568" s="445" t="s">
        <v>707</v>
      </c>
      <c r="C568" s="442" t="str">
        <f>J4</f>
        <v xml:space="preserve">strieborná </v>
      </c>
      <c r="D568" s="444">
        <v>222788</v>
      </c>
      <c r="E568" s="443" t="str">
        <f>+VLOOKUP(A568,cennik!A:G,2,FALSE)</f>
        <v>SEVROLL 04530 Alfa II úchytová lišta 18mm 2,70m strieborná</v>
      </c>
      <c r="F568" s="443" t="str">
        <f>+VLOOKUP(A568,cennik!A:B,2,FALSE)</f>
        <v>SEVROLL 04530 Alfa II úchytová lišta 18mm 2,70m strieborná</v>
      </c>
      <c r="I568" s="442" t="str">
        <f>J4</f>
        <v xml:space="preserve">strieborná </v>
      </c>
      <c r="Z568" s="1" t="b">
        <f t="shared" si="12"/>
        <v>1</v>
      </c>
    </row>
    <row r="569" spans="1:26" s="442" customFormat="1" ht="15" customHeight="1" x14ac:dyDescent="0.3">
      <c r="A569" s="444">
        <v>222789</v>
      </c>
      <c r="B569" s="443"/>
      <c r="C569" s="442" t="str">
        <f>J6</f>
        <v>oliva</v>
      </c>
      <c r="D569" s="444">
        <v>222789</v>
      </c>
      <c r="E569" s="443" t="str">
        <f>+VLOOKUP(A569,cennik!A:G,2,FALSE)</f>
        <v>SEVROLL 04529 Alfa II úchytová lišta 18mm 2,70m oliva</v>
      </c>
      <c r="F569" s="443" t="str">
        <f>+VLOOKUP(A569,cennik!A:B,2,FALSE)</f>
        <v>SEVROLL 04529 Alfa II úchytová lišta 18mm 2,70m oliva</v>
      </c>
      <c r="I569" s="442" t="str">
        <f>J6</f>
        <v>oliva</v>
      </c>
      <c r="Z569" s="1" t="b">
        <f t="shared" si="12"/>
        <v>1</v>
      </c>
    </row>
    <row r="570" spans="1:26" s="442" customFormat="1" ht="15" customHeight="1" x14ac:dyDescent="0.3">
      <c r="A570" s="444">
        <v>222787</v>
      </c>
      <c r="B570" s="443"/>
      <c r="C570" s="442" t="str">
        <f>J5</f>
        <v>zlatá</v>
      </c>
      <c r="D570" s="444">
        <v>222787</v>
      </c>
      <c r="E570" s="443" t="str">
        <f>+VLOOKUP(A570,cennik!A:G,2,FALSE)</f>
        <v>SEVROLL Alfa II úchytová lišta 18mm 2,7m zlatá</v>
      </c>
      <c r="F570" s="443" t="str">
        <f>+VLOOKUP(A570,cennik!A:B,2,FALSE)</f>
        <v>SEVROLL Alfa II úchytová lišta 18mm 2,7m zlatá</v>
      </c>
      <c r="I570" s="442" t="str">
        <f>J5</f>
        <v>zlatá</v>
      </c>
      <c r="Z570" s="1" t="b">
        <f t="shared" si="12"/>
        <v>1</v>
      </c>
    </row>
    <row r="571" spans="1:26" s="442" customFormat="1" ht="15" customHeight="1" x14ac:dyDescent="0.3">
      <c r="A571" s="444">
        <v>276730</v>
      </c>
      <c r="B571" s="443"/>
      <c r="C571" s="442" t="str">
        <f>J15</f>
        <v>biela lesk</v>
      </c>
      <c r="D571" s="444">
        <v>276730</v>
      </c>
      <c r="E571" s="443" t="str">
        <f>+VLOOKUP(A571,cennik!A:G,2,FALSE)</f>
        <v>SEVROLL 04532 Alfa II úchytová lišta 18mm 2,7m biela lesk</v>
      </c>
      <c r="F571" s="443" t="str">
        <f>+VLOOKUP(A571,cennik!A:B,2,FALSE)</f>
        <v>SEVROLL 04532 Alfa II úchytová lišta 18mm 2,7m biela lesk</v>
      </c>
      <c r="I571" s="442" t="str">
        <f>J15</f>
        <v>biela lesk</v>
      </c>
      <c r="Z571" s="1" t="b">
        <f t="shared" ref="Z571:Z635" si="15">A571=D571</f>
        <v>1</v>
      </c>
    </row>
    <row r="572" spans="1:26" s="442" customFormat="1" ht="15" customHeight="1" x14ac:dyDescent="0.3">
      <c r="A572" s="2">
        <v>395495</v>
      </c>
      <c r="B572" s="1"/>
      <c r="C572" s="1" t="str">
        <f>J16</f>
        <v>čierna lesk</v>
      </c>
      <c r="D572" s="2">
        <v>395495</v>
      </c>
      <c r="E572" s="48" t="str">
        <f>+VLOOKUP(A572,cennik!A:G,2,FALSE)</f>
        <v>SEVROLL 05152 Alfa II úchytová lišta 18mm 2,7m čierna lesk</v>
      </c>
      <c r="F572" s="48" t="str">
        <f>+VLOOKUP(A572,cennik!A:B,2,FALSE)</f>
        <v>SEVROLL 05152 Alfa II úchytová lišta 18mm 2,7m čierna lesk</v>
      </c>
      <c r="G572" s="1"/>
      <c r="H572" s="1"/>
      <c r="I572" s="1" t="str">
        <f>J16</f>
        <v>čierna lesk</v>
      </c>
      <c r="Z572" s="1" t="b">
        <f t="shared" si="15"/>
        <v>1</v>
      </c>
    </row>
    <row r="573" spans="1:26" s="442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úchytová lišta 18mm 2,7m grafit</v>
      </c>
      <c r="F573" s="48" t="str">
        <f>+VLOOKUP(A573,cennik!A:B,2,FALSE)</f>
        <v>SEVROLL 06053 Alfa II úchytová lišta 18mm 2,7m grafit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čierna mat</v>
      </c>
      <c r="D574" s="1">
        <v>288252</v>
      </c>
      <c r="E574" s="48" t="str">
        <f>+VLOOKUP(A574,cennik!A:G,2,FALSE)</f>
        <v>SEVROLL 05305 Alfa II úchytová lišta 18mm 2,7m čierna mat</v>
      </c>
      <c r="F574" s="48" t="str">
        <f>+VLOOKUP(A574,cennik!A:B,2,FALSE)</f>
        <v>SEVROLL 05305 Alfa II úchytová lišta 18mm 2,7m čierna mat</v>
      </c>
      <c r="I574" s="1" t="str">
        <f>J17</f>
        <v>čierna mat</v>
      </c>
      <c r="Z574" s="1" t="b">
        <f t="shared" si="15"/>
        <v>1</v>
      </c>
    </row>
    <row r="575" spans="1:26" ht="15" customHeight="1" x14ac:dyDescent="0.3">
      <c r="A575" s="441">
        <v>394791</v>
      </c>
      <c r="B575" s="442"/>
      <c r="C575" s="442" t="str">
        <f>J18</f>
        <v>biela mat</v>
      </c>
      <c r="D575" s="441">
        <v>394791</v>
      </c>
      <c r="E575" s="443" t="str">
        <f>+VLOOKUP(A575,cennik!A:G,2,FALSE)</f>
        <v>SEVROLL 05153 Alfa II úchytová lišta 18mm 2,7m biela mat</v>
      </c>
      <c r="F575" s="443" t="str">
        <f>+VLOOKUP(A575,cennik!A:B,2,FALSE)</f>
        <v>SEVROLL 05153 Alfa II úchytová lišta 18mm 2,7m biela mat</v>
      </c>
      <c r="G575" s="442"/>
      <c r="H575" s="442"/>
      <c r="I575" s="442" t="str">
        <f>J18</f>
        <v>biela mat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čierna štrukturálna</v>
      </c>
      <c r="D576" s="49">
        <v>524825</v>
      </c>
      <c r="E576" s="443" t="str">
        <f>+VLOOKUP(A576,cennik!A:G,2,FALSE)</f>
        <v>SEVROLL 06438 Alfa II úchytková lišta 16/18mm 2,7m čierna štrukturálna</v>
      </c>
      <c r="F576" s="443" t="str">
        <f>+VLOOKUP(A576,cennik!A:B,2,FALSE)</f>
        <v>SEVROLL 06438 Alfa II úchytková lišta 16/18mm 2,7m čierna štrukturálna</v>
      </c>
      <c r="I576" s="1" t="str">
        <f>J22</f>
        <v>čierna štrukturálna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 xml:space="preserve">strieborná </v>
      </c>
      <c r="D577" s="49">
        <v>89010</v>
      </c>
      <c r="E577" s="48" t="str">
        <f>+VLOOKUP(A577,cennik!A:G,2,FALSE)</f>
        <v>SEVROLL 00215 spojovacia lišta H18 3m strieborná</v>
      </c>
      <c r="F577" s="48" t="str">
        <f>+VLOOKUP(A577,cennik!A:B,2,FALSE)</f>
        <v>SEVROLL 00215 spojovacia lišta H18 3m strieborná</v>
      </c>
      <c r="G577" s="1" t="e">
        <f>+VLOOKUP(A577,#REF!,4,FALSE)</f>
        <v>#REF!</v>
      </c>
      <c r="I577" s="1" t="str">
        <f>J4</f>
        <v xml:space="preserve">strieborná 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oliva</v>
      </c>
      <c r="D578" s="49">
        <v>89012</v>
      </c>
      <c r="E578" s="48" t="str">
        <f>+VLOOKUP(A578,cennik!A:G,2,FALSE)</f>
        <v>SEVROLL spojovacia lišta H18 3m oliva</v>
      </c>
      <c r="F578" s="48" t="str">
        <f>+VLOOKUP(A578,cennik!A:B,2,FALSE)</f>
        <v>SEVROLL spojovacia lišta H18 3m oliva</v>
      </c>
      <c r="G578" s="1" t="e">
        <f>+VLOOKUP(A578,#REF!,4,FALSE)</f>
        <v>#REF!</v>
      </c>
      <c r="I578" s="1" t="str">
        <f>J6</f>
        <v>oliva</v>
      </c>
      <c r="Z578" s="1" t="b">
        <f t="shared" si="15"/>
        <v>1</v>
      </c>
    </row>
    <row r="579" spans="1:26" ht="15" customHeight="1" x14ac:dyDescent="0.3">
      <c r="A579" s="49">
        <v>89011</v>
      </c>
      <c r="B579" s="48"/>
      <c r="C579" s="1" t="str">
        <f>J5</f>
        <v>zlatá</v>
      </c>
      <c r="D579" s="49">
        <v>89011</v>
      </c>
      <c r="E579" s="48" t="str">
        <f>+VLOOKUP(A579,cennik!A:G,2,FALSE)</f>
        <v>SEVROLL 00216 spojovacia lišta H18 3m zlatá</v>
      </c>
      <c r="F579" s="48" t="str">
        <f>+VLOOKUP(A579,cennik!A:B,2,FALSE)</f>
        <v>SEVROLL 00216 spojovacia lišta H18 3m zlatá</v>
      </c>
      <c r="G579" s="1" t="e">
        <f>+VLOOKUP(A579,#REF!,4,FALSE)</f>
        <v>#REF!</v>
      </c>
      <c r="I579" s="1" t="str">
        <f>J5</f>
        <v>zlatá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oliva kartáčovaná</v>
      </c>
      <c r="D580" s="49">
        <v>191704</v>
      </c>
      <c r="E580" s="48" t="str">
        <f>+VLOOKUP(A580,cennik!A:G,2,FALSE)</f>
        <v>SEVROLL spojovacia lišta H18 3m oliva kartáč</v>
      </c>
      <c r="F580" s="48" t="str">
        <f>+VLOOKUP(A580,cennik!A:B,2,FALSE)</f>
        <v>SEVROLL spojovacia lišta H18 3m oliva kartáč</v>
      </c>
      <c r="I580" s="1" t="str">
        <f>J7</f>
        <v>oliva kartáčovaná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kart. tm. oliva</v>
      </c>
      <c r="D581" s="49">
        <v>223332</v>
      </c>
      <c r="E581" s="48" t="str">
        <f>+VLOOKUP(A581,cennik!A:G,2,FALSE)</f>
        <v>SEVROLL spoj.lišta H18 3m oliva tm.kartáč</v>
      </c>
      <c r="F581" s="48" t="str">
        <f>+VLOOKUP(A581,cennik!A:B,2,FALSE)</f>
        <v>SEVROLL spoj.lišta H18 3m oliva tm.kartáč</v>
      </c>
      <c r="I581" s="1" t="str">
        <f>J8</f>
        <v>kart. tm. oliva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kart. čierna</v>
      </c>
      <c r="D582" s="49">
        <v>223391</v>
      </c>
      <c r="E582" s="48" t="str">
        <f>+VLOOKUP(A582,cennik!A:G,2,FALSE)</f>
        <v>SEVROLL spoj.lišta H18 3m čierna kartáč</v>
      </c>
      <c r="F582" s="48" t="str">
        <f>+VLOOKUP(A582,cennik!A:B,2,FALSE)</f>
        <v>SEVROLL spoj.lišta H18 3m čierna kartáč</v>
      </c>
      <c r="I582" s="1" t="str">
        <f>J9</f>
        <v>kart. čierna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čierna lesk</v>
      </c>
      <c r="D583" s="2">
        <v>405392</v>
      </c>
      <c r="E583" s="48" t="str">
        <f>+VLOOKUP(A583,cennik!A:G,2,FALSE)</f>
        <v>SEVROLL 05294 spojovacia lišta H18 3m čierna lesk</v>
      </c>
      <c r="F583" s="48" t="str">
        <f>+VLOOKUP(A583,cennik!A:B,2,FALSE)</f>
        <v>SEVROLL 05294 spojovacia lišta H18 3m čierna lesk</v>
      </c>
      <c r="I583" s="1" t="str">
        <f>J16</f>
        <v>čierna lesk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spojovacia lišta H18 3m grafit</v>
      </c>
      <c r="F584" s="48" t="str">
        <f>+VLOOKUP(A584,cennik!A:B,2,FALSE)</f>
        <v>SEVROLL 06041 spojovacia lišta H18 3m grafit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čierna mat</v>
      </c>
      <c r="D585" s="1">
        <v>409683</v>
      </c>
      <c r="E585" s="48" t="str">
        <f>+VLOOKUP(A585,cennik!A:G,2,FALSE)</f>
        <v>SEVROLL 05304 spojovacia lišta H18 3m čierna mat</v>
      </c>
      <c r="F585" s="48" t="str">
        <f>+VLOOKUP(A585,cennik!A:B,2,FALSE)</f>
        <v>SEVROLL 05304 spojovacia lišta H18 3m čierna mat</v>
      </c>
      <c r="I585" s="1" t="str">
        <f>J17</f>
        <v>čierna mat</v>
      </c>
      <c r="Z585" s="1" t="b">
        <f t="shared" si="15"/>
        <v>1</v>
      </c>
    </row>
    <row r="586" spans="1:26" ht="15" customHeight="1" x14ac:dyDescent="0.3">
      <c r="A586" s="441">
        <v>406463</v>
      </c>
      <c r="B586" s="442"/>
      <c r="C586" s="442" t="str">
        <f>J18</f>
        <v>biela mat</v>
      </c>
      <c r="D586" s="441">
        <v>406463</v>
      </c>
      <c r="E586" s="443" t="str">
        <f>+VLOOKUP(A586,cennik!A:G,2,FALSE)</f>
        <v>SEVROLL 05293 spojovacia lišta H18 3m biela mat</v>
      </c>
      <c r="F586" s="443" t="str">
        <f>+VLOOKUP(A586,cennik!A:B,2,FALSE)</f>
        <v>SEVROLL 05293 spojovacia lišta H18 3m biela mat</v>
      </c>
      <c r="G586" s="442"/>
      <c r="H586" s="442"/>
      <c r="I586" s="442" t="str">
        <f>J18</f>
        <v>biela mat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biela lesk</v>
      </c>
      <c r="D587" s="49">
        <v>252567</v>
      </c>
      <c r="E587" s="48" t="str">
        <f>+VLOOKUP(A587,cennik!A:G,2,FALSE)</f>
        <v>SEVROLL 04051 spojovacia lišta H18 3m biela lesk</v>
      </c>
      <c r="F587" s="48" t="str">
        <f>+VLOOKUP(A587,cennik!A:B,2,FALSE)</f>
        <v>SEVROLL 04051 spojovacia lišta H18 3m biela lesk</v>
      </c>
      <c r="I587" s="1" t="str">
        <f>J15</f>
        <v>biela lesk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čierna štrukturálna</v>
      </c>
      <c r="D588" s="49">
        <v>526505</v>
      </c>
      <c r="E588" s="48" t="str">
        <f>+VLOOKUP(A588,cennik!A:G,2,FALSE)</f>
        <v>SEVROLL 06437 spojovacia  lišta H18 3m čierna štrukturálna</v>
      </c>
      <c r="F588" s="48" t="str">
        <f>+VLOOKUP(A588,cennik!A:B,2,FALSE)</f>
        <v>SEVROLL 06437 spojovacia  lišta H18 3m čierna štrukturálna</v>
      </c>
      <c r="I588" s="1" t="str">
        <f>J22</f>
        <v>čierna štrukturálna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 xml:space="preserve">strieborná </v>
      </c>
      <c r="D589" s="49">
        <v>89188</v>
      </c>
      <c r="E589" s="48" t="str">
        <f>+VLOOKUP(A589,cennik!A:G,2,FALSE)</f>
        <v>SEVROLL spojovaciá lišta "T" 3m strieborná</v>
      </c>
      <c r="F589" s="48" t="str">
        <f>+VLOOKUP(A589,cennik!A:B,2,FALSE)</f>
        <v>SEVROLL spojovaciá lišta "T" 3m strieborná</v>
      </c>
      <c r="G589" s="1" t="e">
        <f>+VLOOKUP(A589,#REF!,4,FALSE)</f>
        <v>#REF!</v>
      </c>
      <c r="I589" s="1" t="str">
        <f>J4</f>
        <v xml:space="preserve">strieborná 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oliva</v>
      </c>
      <c r="D590" s="49">
        <v>89187</v>
      </c>
      <c r="E590" s="48" t="str">
        <f>+VLOOKUP(A590,cennik!A:G,2,FALSE)</f>
        <v>SEVROLL spojovaciá lišta "T" 3m oliva</v>
      </c>
      <c r="F590" s="48" t="str">
        <f>+VLOOKUP(A590,cennik!A:B,2,FALSE)</f>
        <v>SEVROLL spojovaciá lišta "T" 3m oliva</v>
      </c>
      <c r="G590" s="1" t="e">
        <f>+VLOOKUP(A590,#REF!,4,FALSE)</f>
        <v>#REF!</v>
      </c>
      <c r="I590" s="1" t="str">
        <f>J6</f>
        <v>oliva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zlatá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zlatá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oliva kartáčovaná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oliva kartáčovaná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kart. tm. oliva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kart. tm. oliva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kart. čierna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kart. čierna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42"/>
      <c r="C595" s="442" t="str">
        <f>J17</f>
        <v>čierna mat</v>
      </c>
      <c r="D595" s="49" t="s">
        <v>111</v>
      </c>
      <c r="E595" s="443" t="e">
        <f>+VLOOKUP(A595,cennik!A:G,2,FALSE)</f>
        <v>#N/A</v>
      </c>
      <c r="F595" s="443" t="e">
        <f>+VLOOKUP(A595,cennik!A:B,2,FALSE)</f>
        <v>#N/A</v>
      </c>
      <c r="G595" s="442"/>
      <c r="H595" s="442"/>
      <c r="I595" s="442" t="str">
        <f>J17</f>
        <v>čierna mat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42"/>
      <c r="C596" s="442" t="str">
        <f>J16</f>
        <v>čierna lesk</v>
      </c>
      <c r="D596" s="49" t="s">
        <v>111</v>
      </c>
      <c r="E596" s="443" t="e">
        <f>+VLOOKUP(A596,cennik!A:G,2,FALSE)</f>
        <v>#N/A</v>
      </c>
      <c r="F596" s="443" t="e">
        <f>+VLOOKUP(A596,cennik!A:B,2,FALSE)</f>
        <v>#N/A</v>
      </c>
      <c r="G596" s="442"/>
      <c r="H596" s="442"/>
      <c r="I596" s="442" t="str">
        <f>J16</f>
        <v>čierna lesk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42"/>
      <c r="C597" s="442" t="str">
        <f>J18</f>
        <v>biela mat</v>
      </c>
      <c r="D597" s="49" t="s">
        <v>111</v>
      </c>
      <c r="E597" s="443" t="e">
        <f>+VLOOKUP(A597,cennik!A:G,2,FALSE)</f>
        <v>#N/A</v>
      </c>
      <c r="F597" s="443" t="e">
        <f>+VLOOKUP(A597,cennik!A:B,2,FALSE)</f>
        <v>#N/A</v>
      </c>
      <c r="G597" s="442"/>
      <c r="H597" s="442"/>
      <c r="I597" s="442" t="str">
        <f>J18</f>
        <v>biela mat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biela lesk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biela lesk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 xml:space="preserve">strieborná </v>
      </c>
      <c r="D599" s="49">
        <v>89013</v>
      </c>
      <c r="E599" s="48" t="str">
        <f>+VLOOKUP(A599,cennik!A:G,2,FALSE)</f>
        <v>SEVROLL 01373 spojovacia lišta T Decor 3m strieborná</v>
      </c>
      <c r="F599" s="48" t="str">
        <f>+VLOOKUP(A599,cennik!A:B,2,FALSE)</f>
        <v>SEVROLL 01373 spojovacia lišta T Decor 3m strieborná</v>
      </c>
      <c r="G599" s="1" t="e">
        <f>+VLOOKUP(A599,#REF!,4,FALSE)</f>
        <v>#REF!</v>
      </c>
      <c r="I599" s="1" t="str">
        <f>J4</f>
        <v xml:space="preserve">strieborná 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oliva</v>
      </c>
      <c r="D600" s="49">
        <v>89015</v>
      </c>
      <c r="E600" s="48" t="str">
        <f>+VLOOKUP(A600,cennik!A:G,2,FALSE)</f>
        <v>SEVROLL 01373 spojovacia lišta T Decor 3m oliva</v>
      </c>
      <c r="F600" s="48" t="str">
        <f>+VLOOKUP(A600,cennik!A:B,2,FALSE)</f>
        <v>SEVROLL 01373 spojovacia lišta T Decor 3m oliva</v>
      </c>
      <c r="G600" s="1" t="e">
        <f>+VLOOKUP(A600,#REF!,4,FALSE)</f>
        <v>#REF!</v>
      </c>
      <c r="I600" s="1" t="str">
        <f>J6</f>
        <v>oliva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zlatá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zlatá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oliva kartáčovaná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oliva kartáčovaná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42"/>
      <c r="C603" s="442" t="str">
        <f>J17</f>
        <v>čierna mat</v>
      </c>
      <c r="D603" s="49" t="s">
        <v>111</v>
      </c>
      <c r="E603" s="443" t="e">
        <f>+VLOOKUP(A603,cennik!A:G,2,FALSE)</f>
        <v>#N/A</v>
      </c>
      <c r="F603" s="443" t="e">
        <f>+VLOOKUP(A603,cennik!A:B,2,FALSE)</f>
        <v>#N/A</v>
      </c>
      <c r="G603" s="442"/>
      <c r="H603" s="442"/>
      <c r="I603" s="442" t="str">
        <f>J17</f>
        <v>čierna mat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42"/>
      <c r="C604" s="442" t="str">
        <f>J16</f>
        <v>čierna lesk</v>
      </c>
      <c r="D604" s="49" t="s">
        <v>111</v>
      </c>
      <c r="E604" s="443" t="e">
        <f>+VLOOKUP(A604,cennik!A:G,2,FALSE)</f>
        <v>#N/A</v>
      </c>
      <c r="F604" s="443" t="e">
        <f>+VLOOKUP(A604,cennik!A:B,2,FALSE)</f>
        <v>#N/A</v>
      </c>
      <c r="G604" s="442"/>
      <c r="H604" s="442"/>
      <c r="I604" s="442" t="str">
        <f>J16</f>
        <v>čierna lesk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kart. tm. oliva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kart. tm. oliva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42"/>
      <c r="C606" s="442" t="str">
        <f>J18</f>
        <v>biela mat</v>
      </c>
      <c r="D606" s="49" t="s">
        <v>111</v>
      </c>
      <c r="E606" s="443" t="e">
        <f>+VLOOKUP(A606,cennik!A:G,2,FALSE)</f>
        <v>#N/A</v>
      </c>
      <c r="F606" s="443" t="e">
        <f>+VLOOKUP(A606,cennik!A:B,2,FALSE)</f>
        <v>#N/A</v>
      </c>
      <c r="G606" s="442"/>
      <c r="H606" s="442"/>
      <c r="I606" s="442" t="str">
        <f>J18</f>
        <v>biela mat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kart. čierna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kart. čierna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biela lesk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biela lesk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 xml:space="preserve">strieborná </v>
      </c>
      <c r="D609" s="49">
        <v>89269</v>
      </c>
      <c r="E609" s="48" t="str">
        <f>+VLOOKUP(A609,cennik!A:G,2,FALSE)</f>
        <v>SEVROLL profil "U" pre DTD 18mm 3m striebor</v>
      </c>
      <c r="F609" s="48" t="str">
        <f>+VLOOKUP(A609,cennik!A:B,2,FALSE)</f>
        <v>SEVROLL profil "U" pre DTD 18mm 3m striebor</v>
      </c>
      <c r="G609" s="1" t="e">
        <f>+VLOOKUP(A609,#REF!,4,FALSE)</f>
        <v>#REF!</v>
      </c>
      <c r="I609" s="1" t="str">
        <f>J4</f>
        <v xml:space="preserve">strieborná 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oliva</v>
      </c>
      <c r="D610" s="49">
        <v>89268</v>
      </c>
      <c r="E610" s="48" t="str">
        <f>+VLOOKUP(A610,cennik!A:G,2,FALSE)</f>
        <v>SEVROLL 161 U PROFna DTD 18mm-3m, OLIVA</v>
      </c>
      <c r="F610" s="48" t="str">
        <f>+VLOOKUP(A610,cennik!A:B,2,FALSE)</f>
        <v>SEVROLL 161 U PROFna DTD 18mm-3m, OLIVA</v>
      </c>
      <c r="G610" s="1" t="e">
        <f>+VLOOKUP(A610,#REF!,4,FALSE)</f>
        <v>#REF!</v>
      </c>
      <c r="I610" s="1" t="str">
        <f>J6</f>
        <v>oliva</v>
      </c>
      <c r="Z610" s="1" t="b">
        <f t="shared" si="15"/>
        <v>1</v>
      </c>
    </row>
    <row r="611" spans="1:26" ht="15" customHeight="1" x14ac:dyDescent="0.3">
      <c r="A611" s="49">
        <v>89267</v>
      </c>
      <c r="B611" s="48"/>
      <c r="C611" s="1" t="str">
        <f>J5</f>
        <v>zlatá</v>
      </c>
      <c r="D611" s="49">
        <v>89267</v>
      </c>
      <c r="E611" s="48" t="str">
        <f>+VLOOKUP(A611,cennik!A:G,2,FALSE)</f>
        <v>SEVROLL profil "U" pre lamino 18mm 3m zlatá</v>
      </c>
      <c r="F611" s="48" t="str">
        <f>+VLOOKUP(A611,cennik!A:B,2,FALSE)</f>
        <v>SEVROLL profil "U" pre lamino 18mm 3m zlatá</v>
      </c>
      <c r="G611" s="1" t="e">
        <f>+VLOOKUP(A611,#REF!,4,FALSE)</f>
        <v>#REF!</v>
      </c>
      <c r="I611" s="1" t="str">
        <f>J5</f>
        <v>zlatá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oliva kartáčovaná</v>
      </c>
      <c r="D612" s="49">
        <v>223341</v>
      </c>
      <c r="E612" s="48" t="str">
        <f>+VLOOKUP(A612,cennik!A:G,2,FALSE)</f>
        <v>SEVROLL profil "U" 18mm 3m oliva kartáčovaná</v>
      </c>
      <c r="F612" s="48" t="str">
        <f>+VLOOKUP(A612,cennik!A:B,2,FALSE)</f>
        <v>SEVROLL profil "U" 18mm 3m oliva kartáčovaná</v>
      </c>
      <c r="G612" s="1" t="e">
        <f>+VLOOKUP(A612,#REF!,4,FALSE)</f>
        <v>#REF!</v>
      </c>
      <c r="I612" s="1" t="str">
        <f>J7</f>
        <v>oliva kartáčovaná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kart. tm. oliva</v>
      </c>
      <c r="D613" s="49">
        <v>223342</v>
      </c>
      <c r="E613" s="48" t="str">
        <f>+VLOOKUP(A613,cennik!A:G,2,FALSE)</f>
        <v>SEVROLL profil "U" 18mm 3m oliva tmavá kartáčovaná</v>
      </c>
      <c r="F613" s="48" t="str">
        <f>+VLOOKUP(A613,cennik!A:B,2,FALSE)</f>
        <v>SEVROLL profil "U" 18mm 3m oliva tmavá kartáčovaná</v>
      </c>
      <c r="I613" s="1" t="str">
        <f>J8</f>
        <v>kart. tm. oliva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kart. čierna</v>
      </c>
      <c r="D614" s="49">
        <v>223343</v>
      </c>
      <c r="E614" s="48" t="str">
        <f>+VLOOKUP(A614,cennik!A:G,2,FALSE)</f>
        <v>SEVROLL profil "U" 18mm 3m čierna kartáčovaná</v>
      </c>
      <c r="F614" s="48" t="str">
        <f>+VLOOKUP(A614,cennik!A:B,2,FALSE)</f>
        <v>SEVROLL profil "U" 18mm 3m čierna kartáčovaná</v>
      </c>
      <c r="I614" s="1" t="str">
        <f>J9</f>
        <v>kart. čierna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čierna lesk</v>
      </c>
      <c r="D615" s="2">
        <v>405364</v>
      </c>
      <c r="E615" s="48" t="str">
        <f>+VLOOKUP(A615,cennik!A:G,2,FALSE)</f>
        <v>SEVROLL 05292 profil "U" pre lamino 18mm 3m čierna lesk</v>
      </c>
      <c r="F615" s="48" t="str">
        <f>+VLOOKUP(A615,cennik!A:B,2,FALSE)</f>
        <v>SEVROLL 05292 profil "U" pre lamino 18mm 3m čierna lesk</v>
      </c>
      <c r="I615" s="1" t="str">
        <f>J16</f>
        <v>čierna lesk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profil "U" pre lamino 18mm 3m grafit</v>
      </c>
      <c r="F616" s="48" t="str">
        <f>+VLOOKUP(A616,cennik!A:B,2,FALSE)</f>
        <v>SEVROLL 06033 profil "U" pre lamino 18mm 3m grafit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čierna mat</v>
      </c>
      <c r="D617" s="2">
        <v>422013</v>
      </c>
      <c r="E617" s="48" t="str">
        <f>+VLOOKUP(A617,cennik!A:G,2,FALSE)</f>
        <v>SEVROLL profil "U" pro lamino 18mm 3m čierna mat</v>
      </c>
      <c r="F617" s="48" t="str">
        <f>+VLOOKUP(A617,cennik!A:B,2,FALSE)</f>
        <v>SEVROLL profil "U" pro lamino 18mm 3m čierna mat</v>
      </c>
      <c r="I617" s="1" t="str">
        <f>J16</f>
        <v>čierna lesk</v>
      </c>
      <c r="Z617" s="1" t="b">
        <f t="shared" si="15"/>
        <v>1</v>
      </c>
    </row>
    <row r="618" spans="1:26" ht="15" customHeight="1" x14ac:dyDescent="0.3">
      <c r="A618" s="441">
        <v>406464</v>
      </c>
      <c r="B618" s="442"/>
      <c r="C618" s="442" t="str">
        <f>J18</f>
        <v>biela mat</v>
      </c>
      <c r="D618" s="441">
        <v>406464</v>
      </c>
      <c r="E618" s="443" t="str">
        <f>+VLOOKUP(A618,cennik!A:G,2,FALSE)</f>
        <v>SEVROLL 05291 profil "U" pre lamino 18mm 3m biela mat</v>
      </c>
      <c r="F618" s="443" t="str">
        <f>+VLOOKUP(A618,cennik!A:B,2,FALSE)</f>
        <v>SEVROLL 05291 profil "U" pre lamino 18mm 3m biela mat</v>
      </c>
      <c r="G618" s="442"/>
      <c r="H618" s="442"/>
      <c r="I618" s="442" t="str">
        <f>J18</f>
        <v>biela mat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biela lesk</v>
      </c>
      <c r="D619" s="49">
        <v>360760</v>
      </c>
      <c r="E619" s="48" t="str">
        <f>+VLOOKUP(A619,cennik!A:G,2,FALSE)</f>
        <v>SEVROLL 04153 profil "U" pre lamino 18mm 3m biela lesk</v>
      </c>
      <c r="F619" s="48" t="str">
        <f>+VLOOKUP(A619,cennik!A:B,2,FALSE)</f>
        <v>SEVROLL 04153 profil "U" pre lamino 18mm 3m biela lesk</v>
      </c>
      <c r="I619" s="1" t="str">
        <f>J15</f>
        <v>biela lesk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 xml:space="preserve">strieborná </v>
      </c>
      <c r="D620" s="49">
        <v>89016</v>
      </c>
      <c r="E620" s="48" t="str">
        <f>+VLOOKUP(A620,cennik!A:G,2,FALSE)</f>
        <v>SEVROL 00036L profil "U" Decor 18mm 3m strieborná</v>
      </c>
      <c r="F620" s="48" t="str">
        <f>+VLOOKUP(A620,cennik!A:B,2,FALSE)</f>
        <v>SEVROL 00036L profil "U" Decor 18mm 3m strieborná</v>
      </c>
      <c r="G620" s="1" t="e">
        <f>+VLOOKUP(A620,#REF!,4,FALSE)</f>
        <v>#REF!</v>
      </c>
      <c r="I620" s="1" t="str">
        <f>J4</f>
        <v xml:space="preserve">strieborná 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oliva</v>
      </c>
      <c r="D621" s="49">
        <v>89018</v>
      </c>
      <c r="E621" s="48" t="str">
        <f>+VLOOKUP(A621,cennik!A:G,2,FALSE)</f>
        <v>SEVROLL 00035 profil "U" Decor 18mm 3m oliva</v>
      </c>
      <c r="F621" s="48" t="str">
        <f>+VLOOKUP(A621,cennik!A:B,2,FALSE)</f>
        <v>SEVROLL 00035 profil "U" Decor 18mm 3m oliva</v>
      </c>
      <c r="G621" s="1" t="e">
        <f>+VLOOKUP(A621,#REF!,4,FALSE)</f>
        <v>#REF!</v>
      </c>
      <c r="I621" s="1" t="str">
        <f>J6</f>
        <v>oliva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oliva kartáčovaná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oliva kartáčovaná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kart. tm. oliva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kart. tm. oliva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kart. čierna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kart. čierna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čierna mat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čierna mat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čierna lesk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čierna lesk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zlatá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zlatá</v>
      </c>
      <c r="Z627" s="1" t="b">
        <f t="shared" si="15"/>
        <v>1</v>
      </c>
    </row>
    <row r="628" spans="1:26" s="442" customFormat="1" ht="15" customHeight="1" x14ac:dyDescent="0.3">
      <c r="A628" s="49" t="s">
        <v>111</v>
      </c>
      <c r="C628" s="442" t="str">
        <f>J18</f>
        <v>biela mat</v>
      </c>
      <c r="D628" s="49" t="s">
        <v>111</v>
      </c>
      <c r="E628" s="443" t="e">
        <f>+VLOOKUP(A628,cennik!A:G,2,FALSE)</f>
        <v>#N/A</v>
      </c>
      <c r="F628" s="443" t="e">
        <f>+VLOOKUP(A628,cennik!A:B,2,FALSE)</f>
        <v>#N/A</v>
      </c>
      <c r="I628" s="442" t="str">
        <f>J18</f>
        <v>biela mat</v>
      </c>
      <c r="Z628" s="1" t="b">
        <f t="shared" si="15"/>
        <v>1</v>
      </c>
    </row>
    <row r="629" spans="1:26" s="442" customFormat="1" ht="15" customHeight="1" x14ac:dyDescent="0.3">
      <c r="A629" s="49" t="s">
        <v>111</v>
      </c>
      <c r="B629" s="48"/>
      <c r="C629" s="1" t="str">
        <f>J15</f>
        <v>biela lesk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biela lesk</v>
      </c>
      <c r="Z629" s="1" t="b">
        <f t="shared" si="15"/>
        <v>1</v>
      </c>
    </row>
    <row r="630" spans="1:26" s="442" customFormat="1" ht="15" customHeight="1" x14ac:dyDescent="0.3">
      <c r="A630" s="444">
        <v>89132</v>
      </c>
      <c r="B630" s="443" t="s">
        <v>48</v>
      </c>
      <c r="C630" s="442" t="str">
        <f>J5</f>
        <v>zlatá</v>
      </c>
      <c r="D630" s="444">
        <v>89132</v>
      </c>
      <c r="E630" s="443" t="str">
        <f>+VLOOKUP(A630,cennik!A:G,2,FALSE)</f>
        <v>SEVROLL uholník Mini 17x11mm 1,7m zlatá</v>
      </c>
      <c r="F630" s="443" t="str">
        <f>+VLOOKUP(A630,cennik!A:B,2,FALSE)</f>
        <v>SEVROLL uholník Mini 17x11mm 1,7m zlatá</v>
      </c>
      <c r="G630" s="442" t="e">
        <f>+VLOOKUP(A630,#REF!,4,FALSE)</f>
        <v>#REF!</v>
      </c>
      <c r="I630" s="442" t="str">
        <f>J5</f>
        <v>zlatá</v>
      </c>
      <c r="Z630" s="1" t="b">
        <f t="shared" si="15"/>
        <v>1</v>
      </c>
    </row>
    <row r="631" spans="1:26" s="442" customFormat="1" ht="15" customHeight="1" x14ac:dyDescent="0.3">
      <c r="A631" s="444">
        <v>89133</v>
      </c>
      <c r="B631" s="443"/>
      <c r="C631" s="442" t="str">
        <f>J6</f>
        <v>oliva</v>
      </c>
      <c r="D631" s="444">
        <v>89133</v>
      </c>
      <c r="E631" s="443" t="str">
        <f>+VLOOKUP(A631,cennik!A:G,2,FALSE)</f>
        <v>SEVROLL 00903 uholník Mini 17x11mm 1,7m oliva</v>
      </c>
      <c r="F631" s="443" t="str">
        <f>+VLOOKUP(A631,cennik!A:B,2,FALSE)</f>
        <v>SEVROLL 00903 uholník Mini 17x11mm 1,7m oliva</v>
      </c>
      <c r="G631" s="442" t="e">
        <f>+VLOOKUP(A631,#REF!,4,FALSE)</f>
        <v>#REF!</v>
      </c>
      <c r="I631" s="442" t="str">
        <f>J6</f>
        <v>oliva</v>
      </c>
      <c r="Z631" s="1" t="b">
        <f t="shared" si="15"/>
        <v>1</v>
      </c>
    </row>
    <row r="632" spans="1:26" s="442" customFormat="1" ht="15" customHeight="1" x14ac:dyDescent="0.3">
      <c r="A632" s="444">
        <v>89134</v>
      </c>
      <c r="B632" s="443"/>
      <c r="C632" s="442" t="str">
        <f>J4</f>
        <v xml:space="preserve">strieborná </v>
      </c>
      <c r="D632" s="444">
        <v>89134</v>
      </c>
      <c r="E632" s="443" t="str">
        <f>+VLOOKUP(A632,cennik!A:G,2,FALSE)</f>
        <v>SEVROLL 00102 úhelník Mini 17x11mm 1,7m strieborný</v>
      </c>
      <c r="F632" s="443" t="str">
        <f>+VLOOKUP(A632,cennik!A:B,2,FALSE)</f>
        <v>SEVROLL 00102 úhelník Mini 17x11mm 1,7m strieborný</v>
      </c>
      <c r="G632" s="442" t="e">
        <f>+VLOOKUP(A632,#REF!,4,FALSE)</f>
        <v>#REF!</v>
      </c>
      <c r="I632" s="442" t="str">
        <f>J4</f>
        <v xml:space="preserve">strieborná </v>
      </c>
      <c r="Z632" s="1" t="b">
        <f t="shared" si="15"/>
        <v>1</v>
      </c>
    </row>
    <row r="633" spans="1:26" s="442" customFormat="1" ht="15" customHeight="1" x14ac:dyDescent="0.3">
      <c r="A633" s="444" t="s">
        <v>111</v>
      </c>
      <c r="B633" s="443"/>
      <c r="C633" s="442" t="str">
        <f>J7</f>
        <v>oliva kartáčovaná</v>
      </c>
      <c r="D633" s="444" t="s">
        <v>111</v>
      </c>
      <c r="E633" s="443" t="e">
        <f>+VLOOKUP(A633,cennik!A:G,2,FALSE)</f>
        <v>#N/A</v>
      </c>
      <c r="F633" s="443" t="e">
        <f>+VLOOKUP(A633,cennik!A:B,2,FALSE)</f>
        <v>#N/A</v>
      </c>
      <c r="G633" s="442" t="e">
        <f>+VLOOKUP(A633,#REF!,4,FALSE)</f>
        <v>#REF!</v>
      </c>
      <c r="I633" s="442" t="str">
        <f>J7</f>
        <v>oliva kartáčovaná</v>
      </c>
      <c r="Z633" s="1" t="b">
        <f t="shared" si="15"/>
        <v>1</v>
      </c>
    </row>
    <row r="634" spans="1:26" s="442" customFormat="1" ht="15" customHeight="1" x14ac:dyDescent="0.3">
      <c r="A634" s="444" t="s">
        <v>111</v>
      </c>
      <c r="B634" s="443"/>
      <c r="C634" s="442" t="str">
        <f>J8</f>
        <v>kart. tm. oliva</v>
      </c>
      <c r="D634" s="444" t="s">
        <v>111</v>
      </c>
      <c r="E634" s="443" t="e">
        <f>+VLOOKUP(A634,cennik!A:G,2,FALSE)</f>
        <v>#N/A</v>
      </c>
      <c r="F634" s="443" t="e">
        <f>+VLOOKUP(A634,cennik!A:B,2,FALSE)</f>
        <v>#N/A</v>
      </c>
      <c r="I634" s="442" t="str">
        <f>J8</f>
        <v>kart. tm. oliva</v>
      </c>
      <c r="Z634" s="1" t="b">
        <f t="shared" si="15"/>
        <v>1</v>
      </c>
    </row>
    <row r="635" spans="1:26" s="442" customFormat="1" ht="15" customHeight="1" x14ac:dyDescent="0.3">
      <c r="A635" s="2">
        <v>405365</v>
      </c>
      <c r="B635" s="1"/>
      <c r="C635" s="1" t="str">
        <f>J16</f>
        <v>čierna lesk</v>
      </c>
      <c r="D635" s="2">
        <v>405365</v>
      </c>
      <c r="E635" s="48" t="str">
        <f>+VLOOKUP(A635,cennik!A:G,2,FALSE)</f>
        <v>SEVROLL 05138 uholník Mini 17x11mm 1,7m čiena lesk</v>
      </c>
      <c r="F635" s="48" t="str">
        <f>+VLOOKUP(A635,cennik!A:B,2,FALSE)</f>
        <v>SEVROLL 05138 uholník Mini 17x11mm 1,7m čiena lesk</v>
      </c>
      <c r="G635" s="1"/>
      <c r="H635" s="1"/>
      <c r="I635" s="1" t="str">
        <f>J16</f>
        <v>čierna lesk</v>
      </c>
      <c r="Z635" s="1" t="b">
        <f t="shared" si="15"/>
        <v>1</v>
      </c>
    </row>
    <row r="636" spans="1:26" s="442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uholník Mini 17x11mm 1,7m grafit</v>
      </c>
      <c r="F636" s="48" t="str">
        <f>+VLOOKUP(A636,cennik!A:B,2,FALSE)</f>
        <v>SEVROLL 06034 uholník Mini 17x11mm 1,7m grafit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42" customFormat="1" ht="15" customHeight="1" x14ac:dyDescent="0.3">
      <c r="A637" s="1">
        <v>422014</v>
      </c>
      <c r="B637" s="1"/>
      <c r="C637" s="1" t="str">
        <f>J17</f>
        <v>čierna mat</v>
      </c>
      <c r="D637" s="1">
        <v>422014</v>
      </c>
      <c r="E637" s="48" t="str">
        <f>+VLOOKUP(A637,cennik!A:G,2,FALSE)</f>
        <v>SEVROLL 05296 uholník Mini 17x11mm 1,7m čierna mat</v>
      </c>
      <c r="F637" s="48" t="str">
        <f>+VLOOKUP(A637,cennik!A:B,2,FALSE)</f>
        <v>SEVROLL 05296 uholník Mini 17x11mm 1,7m čierna mat</v>
      </c>
      <c r="G637" s="1"/>
      <c r="H637" s="1"/>
      <c r="I637" s="1" t="str">
        <f>J17</f>
        <v>čierna mat</v>
      </c>
      <c r="Z637" s="1" t="b">
        <f t="shared" si="16"/>
        <v>1</v>
      </c>
    </row>
    <row r="638" spans="1:26" ht="15" customHeight="1" x14ac:dyDescent="0.3">
      <c r="A638" s="444" t="s">
        <v>111</v>
      </c>
      <c r="B638" s="443"/>
      <c r="C638" s="442" t="str">
        <f>J9</f>
        <v>kart. čierna</v>
      </c>
      <c r="D638" s="444" t="s">
        <v>111</v>
      </c>
      <c r="E638" s="443" t="e">
        <f>+VLOOKUP(A638,cennik!A:G,2,FALSE)</f>
        <v>#N/A</v>
      </c>
      <c r="F638" s="443" t="e">
        <f>+VLOOKUP(A638,cennik!A:B,2,FALSE)</f>
        <v>#N/A</v>
      </c>
      <c r="G638" s="442"/>
      <c r="H638" s="442"/>
      <c r="I638" s="442" t="str">
        <f>J9</f>
        <v>kart. čierna</v>
      </c>
      <c r="Z638" s="1" t="b">
        <f t="shared" si="16"/>
        <v>1</v>
      </c>
    </row>
    <row r="639" spans="1:26" s="442" customFormat="1" ht="15" customHeight="1" x14ac:dyDescent="0.3">
      <c r="A639" s="441">
        <v>394825</v>
      </c>
      <c r="C639" s="442" t="str">
        <f>J18</f>
        <v>biela mat</v>
      </c>
      <c r="D639" s="441">
        <v>394825</v>
      </c>
      <c r="E639" s="443" t="str">
        <f>+VLOOKUP(A639,cennik!A:G,2,FALSE)</f>
        <v>SEVROLL 05136 uholník Mini 17x11mm 1,7m biely mat</v>
      </c>
      <c r="F639" s="443" t="str">
        <f>+VLOOKUP(A639,cennik!A:B,2,FALSE)</f>
        <v>SEVROLL 05136 uholník Mini 17x11mm 1,7m biely mat</v>
      </c>
      <c r="I639" s="442" t="str">
        <f>J18</f>
        <v>biela mat</v>
      </c>
      <c r="Z639" s="1" t="b">
        <f t="shared" si="16"/>
        <v>1</v>
      </c>
    </row>
    <row r="640" spans="1:26" s="442" customFormat="1" ht="15" customHeight="1" x14ac:dyDescent="0.3">
      <c r="A640" s="444">
        <v>276735</v>
      </c>
      <c r="B640" s="443"/>
      <c r="C640" s="442" t="str">
        <f>J15</f>
        <v>biela lesk</v>
      </c>
      <c r="D640" s="444">
        <v>276735</v>
      </c>
      <c r="E640" s="443" t="str">
        <f>+VLOOKUP(A640,cennik!A:G,2,FALSE)</f>
        <v>SEVROLL 04053 uholník Mini 17x11mm 1,7m biela lesk</v>
      </c>
      <c r="F640" s="443" t="str">
        <f>+VLOOKUP(A640,cennik!A:B,2,FALSE)</f>
        <v>SEVROLL 04053 uholník Mini 17x11mm 1,7m biela lesk</v>
      </c>
      <c r="G640" s="442" t="e">
        <f>+VLOOKUP(A640,#REF!,4,FALSE)</f>
        <v>#REF!</v>
      </c>
      <c r="I640" s="442" t="str">
        <f>J15</f>
        <v>biela lesk</v>
      </c>
      <c r="Z640" s="1" t="b">
        <f t="shared" si="16"/>
        <v>1</v>
      </c>
    </row>
    <row r="641" spans="1:26" s="442" customFormat="1" ht="15" customHeight="1" x14ac:dyDescent="0.3">
      <c r="A641" s="444">
        <v>526502</v>
      </c>
      <c r="B641" s="443"/>
      <c r="C641" s="442" t="str">
        <f>J22</f>
        <v>čierna štrukturálna</v>
      </c>
      <c r="D641" s="444">
        <v>526502</v>
      </c>
      <c r="E641" s="443" t="str">
        <f>+VLOOKUP(A641,cennik!A:G,2,FALSE)</f>
        <v>SEVROLL 06434 uholník Mini 17x11mm 1,7m čierna štrukturálna</v>
      </c>
      <c r="F641" s="443" t="str">
        <f>+VLOOKUP(A641,cennik!A:B,2,FALSE)</f>
        <v>SEVROLL 06434 uholník Mini 17x11mm 1,7m čierna štrukturálna</v>
      </c>
      <c r="I641" s="442" t="str">
        <f>J22</f>
        <v>čierna štrukturálna</v>
      </c>
      <c r="Z641" s="1"/>
    </row>
    <row r="642" spans="1:26" s="442" customFormat="1" ht="15" customHeight="1" x14ac:dyDescent="0.3">
      <c r="A642" s="444">
        <v>89135</v>
      </c>
      <c r="B642" s="443" t="s">
        <v>49</v>
      </c>
      <c r="C642" s="442" t="str">
        <f>J5</f>
        <v>zlatá</v>
      </c>
      <c r="D642" s="444">
        <v>89135</v>
      </c>
      <c r="E642" s="443" t="str">
        <f>+VLOOKUP(A642,cennik!A:G,2,FALSE)</f>
        <v>SEVROLL uholník Mini 17x11mm 2,35m zlatá</v>
      </c>
      <c r="F642" s="443" t="str">
        <f>+VLOOKUP(A642,cennik!A:B,2,FALSE)</f>
        <v>SEVROLL uholník Mini 17x11mm 2,35m zlatá</v>
      </c>
      <c r="G642" s="442" t="e">
        <f>+VLOOKUP(A642,#REF!,4,FALSE)</f>
        <v>#REF!</v>
      </c>
      <c r="I642" s="442" t="str">
        <f>J5</f>
        <v>zlatá</v>
      </c>
      <c r="Z642" s="1" t="b">
        <f t="shared" si="16"/>
        <v>1</v>
      </c>
    </row>
    <row r="643" spans="1:26" s="442" customFormat="1" ht="15" customHeight="1" x14ac:dyDescent="0.3">
      <c r="A643" s="444">
        <v>89136</v>
      </c>
      <c r="B643" s="443"/>
      <c r="C643" s="442" t="str">
        <f>J6</f>
        <v>oliva</v>
      </c>
      <c r="D643" s="444">
        <v>89136</v>
      </c>
      <c r="E643" s="443" t="str">
        <f>+VLOOKUP(A643,cennik!A:G,2,FALSE)</f>
        <v>SEVROLL 00904 uholník Mini 17x11mm 2,35m oliva</v>
      </c>
      <c r="F643" s="443" t="str">
        <f>+VLOOKUP(A643,cennik!A:B,2,FALSE)</f>
        <v>SEVROLL 00904 uholník Mini 17x11mm 2,35m oliva</v>
      </c>
      <c r="G643" s="442" t="e">
        <f>+VLOOKUP(A643,#REF!,4,FALSE)</f>
        <v>#REF!</v>
      </c>
      <c r="I643" s="442" t="str">
        <f>J6</f>
        <v>oliva</v>
      </c>
      <c r="Z643" s="1" t="b">
        <f t="shared" si="16"/>
        <v>1</v>
      </c>
    </row>
    <row r="644" spans="1:26" s="442" customFormat="1" ht="15" customHeight="1" x14ac:dyDescent="0.3">
      <c r="A644" s="444" t="s">
        <v>111</v>
      </c>
      <c r="B644" s="443"/>
      <c r="C644" s="442" t="str">
        <f>J7</f>
        <v>oliva kartáčovaná</v>
      </c>
      <c r="D644" s="444" t="s">
        <v>111</v>
      </c>
      <c r="E644" s="443" t="e">
        <f>+VLOOKUP(A644,cennik!A:G,2,FALSE)</f>
        <v>#N/A</v>
      </c>
      <c r="F644" s="443" t="e">
        <f>+VLOOKUP(A644,cennik!A:B,2,FALSE)</f>
        <v>#N/A</v>
      </c>
      <c r="G644" s="442" t="e">
        <f>+VLOOKUP(A644,#REF!,4,FALSE)</f>
        <v>#REF!</v>
      </c>
      <c r="I644" s="442" t="str">
        <f>J7</f>
        <v>oliva kartáčovaná</v>
      </c>
      <c r="Z644" s="1" t="b">
        <f t="shared" si="16"/>
        <v>1</v>
      </c>
    </row>
    <row r="645" spans="1:26" s="442" customFormat="1" ht="15" customHeight="1" x14ac:dyDescent="0.3">
      <c r="A645" s="444" t="s">
        <v>111</v>
      </c>
      <c r="B645" s="443"/>
      <c r="C645" s="442" t="str">
        <f>J8</f>
        <v>kart. tm. oliva</v>
      </c>
      <c r="D645" s="444" t="s">
        <v>111</v>
      </c>
      <c r="E645" s="443" t="e">
        <f>+VLOOKUP(A645,cennik!A:G,2,FALSE)</f>
        <v>#N/A</v>
      </c>
      <c r="F645" s="443" t="e">
        <f>+VLOOKUP(A645,cennik!A:B,2,FALSE)</f>
        <v>#N/A</v>
      </c>
      <c r="I645" s="442" t="str">
        <f>J8</f>
        <v>kart. tm. oliva</v>
      </c>
      <c r="Z645" s="1" t="b">
        <f t="shared" si="16"/>
        <v>1</v>
      </c>
    </row>
    <row r="646" spans="1:26" s="442" customFormat="1" ht="15" customHeight="1" x14ac:dyDescent="0.3">
      <c r="A646" s="2">
        <v>405366</v>
      </c>
      <c r="B646" s="1"/>
      <c r="C646" s="442" t="str">
        <f>J16</f>
        <v>čierna lesk</v>
      </c>
      <c r="D646" s="2">
        <v>405366</v>
      </c>
      <c r="E646" s="443" t="str">
        <f>+VLOOKUP(A646,cennik!A:G,2,FALSE)</f>
        <v>SEVROLL 05139 uholník Mini 17x11mm 2,35m čierna lesk</v>
      </c>
      <c r="F646" s="443" t="str">
        <f>+VLOOKUP(A646,cennik!A:B,2,FALSE)</f>
        <v>SEVROLL 05139 uholník Mini 17x11mm 2,35m čierna lesk</v>
      </c>
      <c r="G646" s="1"/>
      <c r="H646" s="1"/>
      <c r="I646" s="442" t="str">
        <f>J16</f>
        <v>čierna lesk</v>
      </c>
      <c r="Z646" s="1" t="b">
        <f t="shared" si="16"/>
        <v>1</v>
      </c>
    </row>
    <row r="647" spans="1:26" s="442" customFormat="1" ht="15" customHeight="1" x14ac:dyDescent="0.3">
      <c r="A647" s="2">
        <v>494724</v>
      </c>
      <c r="B647" s="1"/>
      <c r="C647" s="442" t="str">
        <f>J12</f>
        <v>grafit</v>
      </c>
      <c r="D647" s="2">
        <v>494724</v>
      </c>
      <c r="E647" s="443" t="str">
        <f>+VLOOKUP(A647,cennik!A:G,2,FALSE)</f>
        <v>SEVROLL 06035 uholník Mini 17x11mm 2,35m grafit</v>
      </c>
      <c r="F647" s="443" t="str">
        <f>+VLOOKUP(A647,cennik!A:B,2,FALSE)</f>
        <v>SEVROLL 06035 uholník Mini 17x11mm 2,35m grafit</v>
      </c>
      <c r="G647" s="1"/>
      <c r="H647" s="1"/>
      <c r="I647" s="442" t="str">
        <f>J12</f>
        <v>grafit</v>
      </c>
      <c r="Z647" s="1" t="b">
        <f t="shared" si="16"/>
        <v>1</v>
      </c>
    </row>
    <row r="648" spans="1:26" s="442" customFormat="1" ht="15" customHeight="1" x14ac:dyDescent="0.3">
      <c r="A648" s="1">
        <v>409682</v>
      </c>
      <c r="B648" s="1"/>
      <c r="C648" s="442" t="str">
        <f>J17</f>
        <v>čierna mat</v>
      </c>
      <c r="D648" s="1">
        <v>409682</v>
      </c>
      <c r="E648" s="443" t="str">
        <f>+VLOOKUP(A648,cennik!A:G,2,FALSE)</f>
        <v>SEVROLL 05297 uholník Mini 17x11mm 2,35m čierna mat</v>
      </c>
      <c r="F648" s="443" t="str">
        <f>+VLOOKUP(A648,cennik!A:B,2,FALSE)</f>
        <v>SEVROLL 05297 uholník Mini 17x11mm 2,35m čierna mat</v>
      </c>
      <c r="G648" s="1"/>
      <c r="H648" s="1"/>
      <c r="I648" s="442" t="str">
        <f>J17</f>
        <v>čierna mat</v>
      </c>
      <c r="Z648" s="1" t="b">
        <f t="shared" si="16"/>
        <v>1</v>
      </c>
    </row>
    <row r="649" spans="1:26" s="442" customFormat="1" ht="15" customHeight="1" x14ac:dyDescent="0.3">
      <c r="A649" s="444" t="s">
        <v>111</v>
      </c>
      <c r="B649" s="443"/>
      <c r="C649" s="442" t="str">
        <f>J9</f>
        <v>kart. čierna</v>
      </c>
      <c r="D649" s="444" t="s">
        <v>111</v>
      </c>
      <c r="E649" s="443" t="e">
        <f>+VLOOKUP(A649,cennik!A:G,2,FALSE)</f>
        <v>#N/A</v>
      </c>
      <c r="F649" s="443" t="e">
        <f>+VLOOKUP(A649,cennik!A:B,2,FALSE)</f>
        <v>#N/A</v>
      </c>
      <c r="I649" s="442" t="str">
        <f>J9</f>
        <v>kart. čierna</v>
      </c>
      <c r="Z649" s="1" t="b">
        <f t="shared" si="16"/>
        <v>1</v>
      </c>
    </row>
    <row r="650" spans="1:26" ht="15" customHeight="1" x14ac:dyDescent="0.3">
      <c r="A650" s="444">
        <v>89137</v>
      </c>
      <c r="B650" s="443"/>
      <c r="C650" s="442" t="str">
        <f>J4</f>
        <v xml:space="preserve">strieborná </v>
      </c>
      <c r="D650" s="444">
        <v>89137</v>
      </c>
      <c r="E650" s="443" t="str">
        <f>+VLOOKUP(A650,cennik!A:G,2,FALSE)</f>
        <v>SEVROLL 00103 úhelník Mini 17x11mm 2,35m strieborný</v>
      </c>
      <c r="F650" s="443" t="str">
        <f>+VLOOKUP(A650,cennik!A:B,2,FALSE)</f>
        <v>SEVROLL 00103 úhelník Mini 17x11mm 2,35m strieborný</v>
      </c>
      <c r="G650" s="442" t="e">
        <f>+VLOOKUP(A650,#REF!,4,FALSE)</f>
        <v>#REF!</v>
      </c>
      <c r="H650" s="442"/>
      <c r="I650" s="442" t="str">
        <f>J4</f>
        <v xml:space="preserve">strieborná </v>
      </c>
      <c r="Z650" s="1" t="b">
        <f t="shared" si="16"/>
        <v>1</v>
      </c>
    </row>
    <row r="651" spans="1:26" ht="15" customHeight="1" x14ac:dyDescent="0.3">
      <c r="A651" s="441">
        <v>394826</v>
      </c>
      <c r="B651" s="442"/>
      <c r="C651" s="442" t="str">
        <f>J18</f>
        <v>biela mat</v>
      </c>
      <c r="D651" s="441">
        <v>394826</v>
      </c>
      <c r="E651" s="443" t="str">
        <f>+VLOOKUP(A651,cennik!A:G,2,FALSE)</f>
        <v>SEVROLL 05137 uholník Mini 17x11mm 2,35m biely mat</v>
      </c>
      <c r="F651" s="443" t="str">
        <f>+VLOOKUP(A651,cennik!A:B,2,FALSE)</f>
        <v>SEVROLL 05137 uholník Mini 17x11mm 2,35m biely mat</v>
      </c>
      <c r="G651" s="442"/>
      <c r="H651" s="442"/>
      <c r="I651" s="442" t="str">
        <f>J18</f>
        <v>biela mat</v>
      </c>
      <c r="Z651" s="1" t="b">
        <f t="shared" si="16"/>
        <v>1</v>
      </c>
    </row>
    <row r="652" spans="1:26" ht="15" customHeight="1" x14ac:dyDescent="0.3">
      <c r="A652" s="444">
        <v>276732</v>
      </c>
      <c r="B652" s="443"/>
      <c r="C652" s="442" t="str">
        <f>J15</f>
        <v>biela lesk</v>
      </c>
      <c r="D652" s="444">
        <v>276732</v>
      </c>
      <c r="E652" s="443" t="str">
        <f>+VLOOKUP(A652,cennik!A:G,2,FALSE)</f>
        <v>SEVROLL 04054 uholník Mini 17x11mm 2,35m biela lesk</v>
      </c>
      <c r="F652" s="443" t="str">
        <f>+VLOOKUP(A652,cennik!A:B,2,FALSE)</f>
        <v>SEVROLL 04054 uholník Mini 17x11mm 2,35m biela lesk</v>
      </c>
      <c r="G652" s="442" t="e">
        <f>+VLOOKUP(A652,#REF!,4,FALSE)</f>
        <v>#REF!</v>
      </c>
      <c r="H652" s="442"/>
      <c r="I652" s="442" t="str">
        <f>J15</f>
        <v>biela lesk</v>
      </c>
      <c r="Z652" s="1" t="b">
        <f t="shared" si="16"/>
        <v>1</v>
      </c>
    </row>
    <row r="653" spans="1:26" ht="15" customHeight="1" x14ac:dyDescent="0.3">
      <c r="A653" s="444">
        <v>526503</v>
      </c>
      <c r="B653" s="443"/>
      <c r="C653" s="442" t="str">
        <f>J22</f>
        <v>čierna štrukturálna</v>
      </c>
      <c r="D653" s="444">
        <v>526503</v>
      </c>
      <c r="E653" s="443" t="str">
        <f>+VLOOKUP(A653,cennik!A:G,2,FALSE)</f>
        <v>SEVROLL 06435 uholník17x11mm 2,35m čierna štrukturálna</v>
      </c>
      <c r="F653" s="443" t="str">
        <f>+VLOOKUP(A653,cennik!A:B,2,FALSE)</f>
        <v>SEVROLL 06435 uholník17x11mm 2,35m čierna štrukturálna</v>
      </c>
      <c r="G653" s="442"/>
      <c r="H653" s="442"/>
      <c r="I653" s="442" t="str">
        <f>J22</f>
        <v>čierna štrukturálna</v>
      </c>
    </row>
    <row r="654" spans="1:26" ht="15" customHeight="1" x14ac:dyDescent="0.3">
      <c r="A654" s="49">
        <v>89138</v>
      </c>
      <c r="B654" s="48" t="s">
        <v>50</v>
      </c>
      <c r="C654" s="1" t="str">
        <f>J5</f>
        <v>zlatá</v>
      </c>
      <c r="D654" s="49">
        <v>89138</v>
      </c>
      <c r="E654" s="48" t="str">
        <f>+VLOOKUP(A654,cennik!A:G,2,FALSE)</f>
        <v>SEVROLL uholník Mini 17x11mm 3m zlatá</v>
      </c>
      <c r="F654" s="48" t="str">
        <f>+VLOOKUP(A654,cennik!A:B,2,FALSE)</f>
        <v>SEVROLL uholník Mini 17x11mm 3m zlatá</v>
      </c>
      <c r="G654" s="1" t="e">
        <f>+VLOOKUP(A654,#REF!,4,FALSE)</f>
        <v>#REF!</v>
      </c>
      <c r="I654" s="1" t="str">
        <f>J5</f>
        <v>zlatá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oliva kartáčovaná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oliva kartáčovaná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kart. tm. oliva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kart. tm. oliva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čierna lesk</v>
      </c>
      <c r="D657" s="2">
        <v>405367</v>
      </c>
      <c r="E657" s="48" t="str">
        <f>+VLOOKUP(A657,cennik!A:G,2,FALSE)</f>
        <v>SEVROLL 05140 uholník Mini 17x11mm 3m čierna lesk</v>
      </c>
      <c r="F657" s="48" t="str">
        <f>+VLOOKUP(A657,cennik!A:B,2,FALSE)</f>
        <v>SEVROLL 05140 uholník Mini 17x11mm 3m čierna lesk</v>
      </c>
      <c r="I657" s="1" t="str">
        <f>J16</f>
        <v>čierna lesk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uholník Mini 17x11mm 3m grafit</v>
      </c>
      <c r="F658" s="48" t="str">
        <f>+VLOOKUP(A658,cennik!A:B,2,FALSE)</f>
        <v>SEVROLL 06036 uholník Mini 17x11mm 3m grafit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čierna mat</v>
      </c>
      <c r="D659" s="1">
        <v>412226</v>
      </c>
      <c r="E659" s="48" t="str">
        <f>+VLOOKUP(A659,cennik!A:G,2,FALSE)</f>
        <v>SEVROLL 05298 uholník Mini 17x11mm 3m čierna mat</v>
      </c>
      <c r="F659" s="48" t="str">
        <f>+VLOOKUP(A659,cennik!A:B,2,FALSE)</f>
        <v>SEVROLL 05298 uholník Mini 17x11mm 3m čierna mat</v>
      </c>
      <c r="I659" s="1" t="str">
        <f>J17</f>
        <v>čierna mat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kart. čierna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kart. čierna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oliva</v>
      </c>
      <c r="D661" s="49">
        <v>89139</v>
      </c>
      <c r="E661" s="48" t="str">
        <f>+VLOOKUP(A661,cennik!A:G,2,FALSE)</f>
        <v>SEVROLL 00905 uholník Mini 17x11mm 3m oliva</v>
      </c>
      <c r="F661" s="48" t="str">
        <f>+VLOOKUP(A661,cennik!A:B,2,FALSE)</f>
        <v>SEVROLL 00905 uholník Mini 17x11mm 3m oliva</v>
      </c>
      <c r="G661" s="1" t="e">
        <f>+VLOOKUP(A661,#REF!,4,FALSE)</f>
        <v>#REF!</v>
      </c>
      <c r="I661" s="1" t="str">
        <f>J6</f>
        <v>oliva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 xml:space="preserve">strieborná </v>
      </c>
      <c r="D662" s="49">
        <v>89140</v>
      </c>
      <c r="E662" s="48" t="str">
        <f>+VLOOKUP(A662,cennik!A:G,2,FALSE)</f>
        <v>SEVROLL 00104 úhelník Mini 17x11mm 3m strieborný</v>
      </c>
      <c r="F662" s="48" t="str">
        <f>+VLOOKUP(A662,cennik!A:B,2,FALSE)</f>
        <v>SEVROLL 00104 úhelník Mini 17x11mm 3m strieborný</v>
      </c>
      <c r="G662" s="1" t="e">
        <f>+VLOOKUP(A662,#REF!,4,FALSE)</f>
        <v>#REF!</v>
      </c>
      <c r="I662" s="1" t="str">
        <f>J4</f>
        <v xml:space="preserve">strieborná </v>
      </c>
      <c r="Z662" s="1" t="b">
        <f t="shared" si="16"/>
        <v>1</v>
      </c>
    </row>
    <row r="663" spans="1:26" s="442" customFormat="1" ht="15" customHeight="1" x14ac:dyDescent="0.3">
      <c r="A663" s="49" t="s">
        <v>111</v>
      </c>
      <c r="C663" s="442" t="str">
        <f>J18</f>
        <v>biela mat</v>
      </c>
      <c r="D663" s="49" t="s">
        <v>111</v>
      </c>
      <c r="E663" s="443" t="e">
        <f>+VLOOKUP(A663,cennik!A:G,2,FALSE)</f>
        <v>#N/A</v>
      </c>
      <c r="F663" s="443" t="e">
        <f>+VLOOKUP(A663,cennik!A:B,2,FALSE)</f>
        <v>#N/A</v>
      </c>
      <c r="I663" s="442" t="str">
        <f>J18</f>
        <v>biela mat</v>
      </c>
      <c r="Z663" s="1" t="b">
        <f t="shared" si="16"/>
        <v>1</v>
      </c>
    </row>
    <row r="664" spans="1:26" s="442" customFormat="1" ht="15" customHeight="1" x14ac:dyDescent="0.3">
      <c r="A664" s="49">
        <v>267880</v>
      </c>
      <c r="B664" s="48"/>
      <c r="C664" s="1" t="str">
        <f>J15</f>
        <v>biela lesk</v>
      </c>
      <c r="D664" s="49">
        <v>267880</v>
      </c>
      <c r="E664" s="48" t="str">
        <f>+VLOOKUP(A664,cennik!A:G,2,FALSE)</f>
        <v>SEVROLL 04055 uholník Mini 17x11mm 3m biela lesk</v>
      </c>
      <c r="F664" s="48" t="str">
        <f>+VLOOKUP(A664,cennik!A:B,2,FALSE)</f>
        <v>SEVROLL 04055 uholník Mini 17x11mm 3m biela lesk</v>
      </c>
      <c r="G664" s="1" t="e">
        <f>+VLOOKUP(A664,#REF!,4,FALSE)</f>
        <v>#REF!</v>
      </c>
      <c r="H664" s="1"/>
      <c r="I664" s="1" t="str">
        <f>J15</f>
        <v>biela lesk</v>
      </c>
      <c r="Z664" s="1" t="b">
        <f t="shared" si="16"/>
        <v>1</v>
      </c>
    </row>
    <row r="665" spans="1:26" s="442" customFormat="1" ht="15" customHeight="1" x14ac:dyDescent="0.3">
      <c r="A665" s="196">
        <v>526504</v>
      </c>
      <c r="B665" s="48"/>
      <c r="C665" s="1" t="str">
        <f>J22</f>
        <v>čierna štrukturálna</v>
      </c>
      <c r="D665" s="196">
        <v>526504</v>
      </c>
      <c r="E665" s="48" t="str">
        <f>+VLOOKUP(A665,cennik!A:G,2,FALSE)</f>
        <v>SEVROLL 06436 uholník Mini 17x11mm 3m čierna štrukturálna</v>
      </c>
      <c r="F665" s="48" t="str">
        <f>+VLOOKUP(A665,cennik!A:B,2,FALSE)</f>
        <v>SEVROLL 06436 uholník Mini 17x11mm 3m čierna štrukturálna</v>
      </c>
      <c r="G665" s="1"/>
      <c r="H665" s="1"/>
      <c r="I665" s="1" t="str">
        <f>J22</f>
        <v>čierna štrukturálna</v>
      </c>
      <c r="Z665" s="1"/>
    </row>
    <row r="666" spans="1:26" s="442" customFormat="1" ht="15" customHeight="1" x14ac:dyDescent="0.3">
      <c r="A666" s="444" t="s">
        <v>111</v>
      </c>
      <c r="B666" s="443" t="s">
        <v>46</v>
      </c>
      <c r="C666" s="442" t="str">
        <f>J5</f>
        <v>zlatá</v>
      </c>
      <c r="D666" s="444" t="s">
        <v>111</v>
      </c>
      <c r="E666" s="443" t="e">
        <f>+VLOOKUP(A666,cennik!A:G,2,FALSE)</f>
        <v>#N/A</v>
      </c>
      <c r="F666" s="443" t="e">
        <f>+VLOOKUP(A666,cennik!A:B,2,FALSE)</f>
        <v>#N/A</v>
      </c>
      <c r="G666" s="442" t="e">
        <f>+VLOOKUP(A666,#REF!,4,FALSE)</f>
        <v>#REF!</v>
      </c>
      <c r="I666" s="442" t="str">
        <f>J5</f>
        <v>zlatá</v>
      </c>
      <c r="Z666" s="1" t="b">
        <f t="shared" si="16"/>
        <v>1</v>
      </c>
    </row>
    <row r="667" spans="1:26" s="442" customFormat="1" ht="15" customHeight="1" x14ac:dyDescent="0.3">
      <c r="A667" s="444">
        <v>89052</v>
      </c>
      <c r="B667" s="443"/>
      <c r="C667" s="442" t="str">
        <f>J6</f>
        <v>oliva</v>
      </c>
      <c r="D667" s="444">
        <v>89052</v>
      </c>
      <c r="E667" s="443" t="str">
        <f>+VLOOKUP(A667,cennik!A:G,2,FALSE)</f>
        <v>SEVROLL 278 UHOLNÍK K2 1,70M OLIVOVÁ</v>
      </c>
      <c r="F667" s="443" t="str">
        <f>+VLOOKUP(A667,cennik!A:B,2,FALSE)</f>
        <v>SEVROLL 278 UHOLNÍK K2 1,70M OLIVOVÁ</v>
      </c>
      <c r="G667" s="442" t="e">
        <f>+VLOOKUP(A667,#REF!,4,FALSE)</f>
        <v>#REF!</v>
      </c>
      <c r="I667" s="442" t="str">
        <f>J6</f>
        <v>oliva</v>
      </c>
      <c r="Z667" s="1" t="b">
        <f t="shared" si="16"/>
        <v>1</v>
      </c>
    </row>
    <row r="668" spans="1:26" s="442" customFormat="1" ht="15" customHeight="1" x14ac:dyDescent="0.3">
      <c r="A668" s="444">
        <v>89050</v>
      </c>
      <c r="B668" s="443"/>
      <c r="C668" s="442" t="str">
        <f>J4</f>
        <v xml:space="preserve">strieborná </v>
      </c>
      <c r="D668" s="444">
        <v>89050</v>
      </c>
      <c r="E668" s="443" t="str">
        <f>+VLOOKUP(A668,cennik!A:G,2,FALSE)</f>
        <v>SEVROLL 278 UHOLNÍK K2 1,70M STRIEBORNÁ</v>
      </c>
      <c r="F668" s="443" t="str">
        <f>+VLOOKUP(A668,cennik!A:B,2,FALSE)</f>
        <v>SEVROLL 278 UHOLNÍK K2 1,70M STRIEBORNÁ</v>
      </c>
      <c r="G668" s="442" t="e">
        <f>+VLOOKUP(A668,#REF!,4,FALSE)</f>
        <v>#REF!</v>
      </c>
      <c r="I668" s="442" t="str">
        <f>J4</f>
        <v xml:space="preserve">strieborná </v>
      </c>
      <c r="Z668" s="1" t="b">
        <f t="shared" si="16"/>
        <v>1</v>
      </c>
    </row>
    <row r="669" spans="1:26" s="442" customFormat="1" ht="15" customHeight="1" x14ac:dyDescent="0.3">
      <c r="A669" s="49" t="s">
        <v>111</v>
      </c>
      <c r="B669" s="48"/>
      <c r="C669" s="1" t="str">
        <f>J16</f>
        <v>čierna lesk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čierna lesk</v>
      </c>
      <c r="Z669" s="1" t="b">
        <f t="shared" si="16"/>
        <v>1</v>
      </c>
    </row>
    <row r="670" spans="1:26" s="442" customFormat="1" ht="15" customHeight="1" x14ac:dyDescent="0.3">
      <c r="A670" s="49" t="s">
        <v>111</v>
      </c>
      <c r="B670" s="48"/>
      <c r="C670" s="1" t="str">
        <f>J17</f>
        <v>čierna mat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čierna mat</v>
      </c>
      <c r="Z670" s="1" t="b">
        <f t="shared" si="16"/>
        <v>1</v>
      </c>
    </row>
    <row r="671" spans="1:26" s="442" customFormat="1" ht="15" customHeight="1" x14ac:dyDescent="0.3">
      <c r="A671" s="444" t="s">
        <v>111</v>
      </c>
      <c r="B671" s="443"/>
      <c r="C671" s="442" t="str">
        <f>J15</f>
        <v>biela lesk</v>
      </c>
      <c r="D671" s="444" t="s">
        <v>111</v>
      </c>
      <c r="E671" s="443" t="e">
        <f>+VLOOKUP(A671,cennik!A:G,2,FALSE)</f>
        <v>#N/A</v>
      </c>
      <c r="F671" s="443" t="e">
        <f>+VLOOKUP(A671,cennik!A:B,2,FALSE)</f>
        <v>#N/A</v>
      </c>
      <c r="I671" s="442" t="str">
        <f>J15</f>
        <v>biela lesk</v>
      </c>
      <c r="Z671" s="1" t="b">
        <f t="shared" si="16"/>
        <v>1</v>
      </c>
    </row>
    <row r="672" spans="1:26" ht="15" customHeight="1" x14ac:dyDescent="0.3">
      <c r="A672" s="444">
        <v>191700</v>
      </c>
      <c r="B672" s="443"/>
      <c r="C672" s="442" t="str">
        <f>J7</f>
        <v>oliva kartáčovaná</v>
      </c>
      <c r="D672" s="444">
        <v>191700</v>
      </c>
      <c r="E672" s="443" t="str">
        <f>+VLOOKUP(A672,cennik!A:G,2,FALSE)</f>
        <v>SEVROLL uholník K2 Decor 1,7m oliva kartáčov</v>
      </c>
      <c r="F672" s="443" t="str">
        <f>+VLOOKUP(A672,cennik!A:B,2,FALSE)</f>
        <v>SEVROLL uholník K2 Decor 1,7m oliva kartáčov</v>
      </c>
      <c r="G672" s="442"/>
      <c r="H672" s="442"/>
      <c r="I672" s="442" t="str">
        <f>J7</f>
        <v>oliva kartáčovaná</v>
      </c>
      <c r="Z672" s="1" t="b">
        <f t="shared" si="16"/>
        <v>1</v>
      </c>
    </row>
    <row r="673" spans="1:26" s="442" customFormat="1" ht="15" customHeight="1" x14ac:dyDescent="0.3">
      <c r="A673" s="444">
        <v>223326</v>
      </c>
      <c r="B673" s="443"/>
      <c r="C673" s="442" t="str">
        <f>J8</f>
        <v>kart. tm. oliva</v>
      </c>
      <c r="D673" s="444">
        <v>223326</v>
      </c>
      <c r="E673" s="443" t="str">
        <f>+VLOOKUP(A673,cennik!A:G,2,FALSE)</f>
        <v>SEVROLL úholník K2 1,7m oliva tmavá kartáčovaná</v>
      </c>
      <c r="F673" s="443" t="str">
        <f>+VLOOKUP(A673,cennik!A:B,2,FALSE)</f>
        <v>SEVROLL úholník K2 1,7m oliva tmavá kartáčovaná</v>
      </c>
      <c r="I673" s="442" t="str">
        <f>J8</f>
        <v>kart. tm. oliva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42"/>
      <c r="C674" s="442" t="str">
        <f>J18</f>
        <v>biela mat</v>
      </c>
      <c r="D674" s="49" t="s">
        <v>111</v>
      </c>
      <c r="E674" s="443" t="e">
        <f>+VLOOKUP(A674,cennik!A:G,2,FALSE)</f>
        <v>#N/A</v>
      </c>
      <c r="F674" s="443" t="e">
        <f>+VLOOKUP(A674,cennik!A:B,2,FALSE)</f>
        <v>#N/A</v>
      </c>
      <c r="G674" s="442"/>
      <c r="H674" s="442"/>
      <c r="I674" s="442" t="str">
        <f>J18</f>
        <v>biela mat</v>
      </c>
      <c r="Z674" s="1" t="b">
        <f t="shared" si="16"/>
        <v>1</v>
      </c>
    </row>
    <row r="675" spans="1:26" ht="15" customHeight="1" x14ac:dyDescent="0.3">
      <c r="A675" s="444">
        <v>223392</v>
      </c>
      <c r="B675" s="443"/>
      <c r="C675" s="442" t="str">
        <f>J9</f>
        <v>kart. čierna</v>
      </c>
      <c r="D675" s="444">
        <v>223392</v>
      </c>
      <c r="E675" s="443" t="str">
        <f>+VLOOKUP(A675,cennik!A:G,2,FALSE)</f>
        <v>SEVROLL uholník K2 1,7m čierna kartáčovaná</v>
      </c>
      <c r="F675" s="443" t="str">
        <f>+VLOOKUP(A675,cennik!A:B,2,FALSE)</f>
        <v>SEVROLL uholník K2 1,7m čierna kartáčovaná</v>
      </c>
      <c r="G675" s="442"/>
      <c r="H675" s="442"/>
      <c r="I675" s="442" t="str">
        <f>J9</f>
        <v>kart. čierna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zlatá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zlatá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oliva</v>
      </c>
      <c r="D677" s="49">
        <v>89055</v>
      </c>
      <c r="E677" s="48" t="str">
        <f>+VLOOKUP(A677,cennik!A:G,2,FALSE)</f>
        <v>SEVROLL 00070 uholník K2 Decor 2,35m oliva</v>
      </c>
      <c r="F677" s="48" t="str">
        <f>+VLOOKUP(A677,cennik!A:B,2,FALSE)</f>
        <v>SEVROLL 00070 uholník K2 Decor 2,35m oliva</v>
      </c>
      <c r="G677" s="1" t="e">
        <f>+VLOOKUP(A677,#REF!,4,FALSE)</f>
        <v>#REF!</v>
      </c>
      <c r="I677" s="1" t="str">
        <f>J6</f>
        <v>oliva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 xml:space="preserve">strieborná </v>
      </c>
      <c r="D678" s="49">
        <v>89053</v>
      </c>
      <c r="E678" s="48" t="str">
        <f>+VLOOKUP(A678,cennik!A:G,2,FALSE)</f>
        <v>SEVROLL 00079 uholník K2 Decor 2,35m strieborná</v>
      </c>
      <c r="F678" s="48" t="str">
        <f>+VLOOKUP(A678,cennik!A:B,2,FALSE)</f>
        <v>SEVROLL 00079 uholník K2 Decor 2,35m strieborná</v>
      </c>
      <c r="G678" s="1" t="e">
        <f>+VLOOKUP(A678,#REF!,4,FALSE)</f>
        <v>#REF!</v>
      </c>
      <c r="I678" s="1" t="str">
        <f>J4</f>
        <v xml:space="preserve">strieborná 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čierna lesk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čierna lesk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čierna mat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čierna mat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oliva kartáčovaná</v>
      </c>
      <c r="D681" s="49">
        <v>191701</v>
      </c>
      <c r="E681" s="48" t="str">
        <f>+VLOOKUP(A681,cennik!A:G,2,FALSE)</f>
        <v>SEVROLL uholník K2 Decor 2,35m oliva kartáč.</v>
      </c>
      <c r="F681" s="48" t="str">
        <f>+VLOOKUP(A681,cennik!A:B,2,FALSE)</f>
        <v>SEVROLL uholník K2 Decor 2,35m oliva kartáč.</v>
      </c>
      <c r="I681" s="1" t="str">
        <f>J7</f>
        <v>oliva kartáčovaná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kart. tm. oliva</v>
      </c>
      <c r="D682" s="49">
        <v>223330</v>
      </c>
      <c r="E682" s="48" t="str">
        <f>+VLOOKUP(A682,cennik!A:G,2,FALSE)</f>
        <v>SEVROLL uholník K2 2,35m oliva tmavá kartáčovaná</v>
      </c>
      <c r="F682" s="48" t="str">
        <f>+VLOOKUP(A682,cennik!A:B,2,FALSE)</f>
        <v>SEVROLL uholník K2 2,35m oliva tmavá kartáčovaná</v>
      </c>
      <c r="I682" s="1" t="str">
        <f>J8</f>
        <v>kart. tm. oliva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42"/>
      <c r="C683" s="442" t="str">
        <f>J18</f>
        <v>biela mat</v>
      </c>
      <c r="D683" s="49" t="s">
        <v>111</v>
      </c>
      <c r="E683" s="443" t="e">
        <f>+VLOOKUP(A683,cennik!A:G,2,FALSE)</f>
        <v>#N/A</v>
      </c>
      <c r="F683" s="443" t="e">
        <f>+VLOOKUP(A683,cennik!A:B,2,FALSE)</f>
        <v>#N/A</v>
      </c>
      <c r="G683" s="442"/>
      <c r="H683" s="442"/>
      <c r="I683" s="442" t="str">
        <f>J18</f>
        <v>biela mat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kart. čierna</v>
      </c>
      <c r="D684" s="49">
        <v>223393</v>
      </c>
      <c r="E684" s="48" t="str">
        <f>+VLOOKUP(A684,cennik!A:G,2,FALSE)</f>
        <v>SEVROLL uholník K2 2,35m čierna kartáčovaná</v>
      </c>
      <c r="F684" s="48" t="str">
        <f>+VLOOKUP(A684,cennik!A:B,2,FALSE)</f>
        <v>SEVROLL uholník K2 2,35m čierna kartáčovaná</v>
      </c>
      <c r="I684" s="1" t="str">
        <f>J9</f>
        <v>kart. čierna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biela lesk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biela lesk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zlatá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zlatá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oliva</v>
      </c>
      <c r="D687" s="49">
        <v>89058</v>
      </c>
      <c r="E687" s="48" t="str">
        <f>+VLOOKUP(A687,cennik!A:G,2,FALSE)</f>
        <v>SEVROLL 00071 uholník K2 Decor 3m oliva</v>
      </c>
      <c r="F687" s="48" t="str">
        <f>+VLOOKUP(A687,cennik!A:B,2,FALSE)</f>
        <v>SEVROLL 00071 uholník K2 Decor 3m oliva</v>
      </c>
      <c r="G687" s="1" t="e">
        <f>+VLOOKUP(A687,#REF!,4,FALSE)</f>
        <v>#REF!</v>
      </c>
      <c r="I687" s="1" t="str">
        <f>J6</f>
        <v>oliva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čierna lesk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čierna lesk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čierna mat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čierna mat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 xml:space="preserve">strieborná </v>
      </c>
      <c r="D690" s="49">
        <v>89056</v>
      </c>
      <c r="E690" s="48" t="str">
        <f>+VLOOKUP(A690,cennik!A:G,2,FALSE)</f>
        <v>SEVROLL 00080 uholník K2 Decor 3m strieborná</v>
      </c>
      <c r="F690" s="48" t="str">
        <f>+VLOOKUP(A690,cennik!A:B,2,FALSE)</f>
        <v>SEVROLL 00080 uholník K2 Decor 3m strieborná</v>
      </c>
      <c r="G690" s="1" t="e">
        <f>+VLOOKUP(A690,#REF!,4,FALSE)</f>
        <v>#REF!</v>
      </c>
      <c r="I690" s="1" t="str">
        <f>J4</f>
        <v xml:space="preserve">strieborná 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oliva kartáčovaná</v>
      </c>
      <c r="D691" s="49">
        <v>191702</v>
      </c>
      <c r="E691" s="48" t="str">
        <f>+VLOOKUP(A691,cennik!A:G,2,FALSE)</f>
        <v>SEVROLL uholník K2 Decor 3m oliva kartáč.</v>
      </c>
      <c r="F691" s="48" t="str">
        <f>+VLOOKUP(A691,cennik!A:B,2,FALSE)</f>
        <v>SEVROLL uholník K2 Decor 3m oliva kartáč.</v>
      </c>
      <c r="I691" s="1" t="str">
        <f>J7</f>
        <v>oliva kartáčovaná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kart. tm. oliva</v>
      </c>
      <c r="D692" s="49">
        <v>223331</v>
      </c>
      <c r="E692" s="48" t="str">
        <f>+VLOOKUP(A692,cennik!A:G,2,FALSE)</f>
        <v>SEVROLL uholník K2 3m oliva tmavá kartáč.</v>
      </c>
      <c r="F692" s="48" t="str">
        <f>+VLOOKUP(A692,cennik!A:B,2,FALSE)</f>
        <v>SEVROLL uholník K2 3m oliva tmavá kartáč.</v>
      </c>
      <c r="I692" s="1" t="str">
        <f>J8</f>
        <v>kart. tm. oliva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42"/>
      <c r="C693" s="442" t="str">
        <f>J18</f>
        <v>biela mat</v>
      </c>
      <c r="D693" s="49" t="s">
        <v>111</v>
      </c>
      <c r="E693" s="443" t="e">
        <f>+VLOOKUP(A693,cennik!A:G,2,FALSE)</f>
        <v>#N/A</v>
      </c>
      <c r="F693" s="443" t="e">
        <f>+VLOOKUP(A693,cennik!A:B,2,FALSE)</f>
        <v>#N/A</v>
      </c>
      <c r="G693" s="442"/>
      <c r="H693" s="442"/>
      <c r="I693" s="442" t="str">
        <f>J18</f>
        <v>biela mat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kart. čierna</v>
      </c>
      <c r="D694" s="49">
        <v>223394</v>
      </c>
      <c r="E694" s="48" t="str">
        <f>+VLOOKUP(A694,cennik!A:G,2,FALSE)</f>
        <v>SEVROLL uholník K2 3m čierna kartač</v>
      </c>
      <c r="F694" s="48" t="str">
        <f>+VLOOKUP(A694,cennik!A:B,2,FALSE)</f>
        <v>SEVROLL uholník K2 3m čierna kartač</v>
      </c>
      <c r="I694" s="1" t="str">
        <f>J9</f>
        <v>kart. čierna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biela lesk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biela lesk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oliva</v>
      </c>
      <c r="D696" s="49">
        <v>135534</v>
      </c>
      <c r="E696" s="48" t="str">
        <f>+VLOOKUP(A696,cennik!A:G,2,FALSE)</f>
        <v>SEVROLL 04542 Victoria II úchytová lišta 18mm 2,7m oliva</v>
      </c>
      <c r="F696" s="48" t="str">
        <f>+VLOOKUP(A696,cennik!A:B,2,FALSE)</f>
        <v>SEVROLL 04542 Victoria II úchytová lišta 18mm 2,7m oliva</v>
      </c>
      <c r="G696" s="1" t="e">
        <f>+VLOOKUP(A696,#REF!,4,FALSE)</f>
        <v>#REF!</v>
      </c>
      <c r="I696" s="1" t="str">
        <f>J6</f>
        <v>oliva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 xml:space="preserve">strieborná </v>
      </c>
      <c r="D697" s="49">
        <v>135532</v>
      </c>
      <c r="E697" s="48" t="str">
        <f>+VLOOKUP(A697,cennik!A:G,2,FALSE)</f>
        <v>SEVROLL 05544 Victoria II úchytová lišta 18mm 2,7m strieborná</v>
      </c>
      <c r="F697" s="48" t="str">
        <f>+VLOOKUP(A697,cennik!A:B,2,FALSE)</f>
        <v>SEVROLL 05544 Victoria II úchytová lišta 18mm 2,7m strieborná</v>
      </c>
      <c r="G697" s="1" t="e">
        <f>+VLOOKUP(A697,#REF!,4,FALSE)</f>
        <v>#REF!</v>
      </c>
      <c r="I697" s="1" t="str">
        <f>J4</f>
        <v xml:space="preserve">strieborná </v>
      </c>
      <c r="Z697" s="1" t="b">
        <f t="shared" si="16"/>
        <v>1</v>
      </c>
    </row>
    <row r="698" spans="1:26" s="422" customFormat="1" ht="15" customHeight="1" x14ac:dyDescent="0.3">
      <c r="A698" s="49">
        <v>191699</v>
      </c>
      <c r="B698" s="48"/>
      <c r="C698" s="1" t="str">
        <f>J7</f>
        <v>oliva kartáčovaná</v>
      </c>
      <c r="D698" s="49">
        <v>191699</v>
      </c>
      <c r="E698" s="48" t="str">
        <f>+VLOOKUP(A698,cennik!A:G,2,FALSE)</f>
        <v>SEVROLL 04618-Y Victoria II úchytová lišta 2,7m oliva kartáčovaná</v>
      </c>
      <c r="F698" s="48" t="str">
        <f>+VLOOKUP(A698,cennik!A:B,2,FALSE)</f>
        <v>SEVROLL 04618-Y Victoria II úchytová lišta 2,7m oliva kartáčovaná</v>
      </c>
      <c r="G698" s="1"/>
      <c r="H698" s="1"/>
      <c r="I698" s="1" t="str">
        <f>J7</f>
        <v>oliva kartáčovaná</v>
      </c>
      <c r="Z698" s="1" t="b">
        <f t="shared" si="16"/>
        <v>1</v>
      </c>
    </row>
    <row r="699" spans="1:26" s="422" customFormat="1" ht="15" customHeight="1" x14ac:dyDescent="0.3">
      <c r="A699" s="49">
        <v>216620</v>
      </c>
      <c r="B699" s="48"/>
      <c r="C699" s="1" t="str">
        <f>J8</f>
        <v>kart. tm. oliva</v>
      </c>
      <c r="D699" s="49">
        <v>216620</v>
      </c>
      <c r="E699" s="48" t="str">
        <f>+VLOOKUP(A699,cennik!A:G,2,FALSE)</f>
        <v>SEVROLL Victoria II 2,7m úchytová lišta oliva tmavá kartáčovaná</v>
      </c>
      <c r="F699" s="48" t="str">
        <f>+VLOOKUP(A699,cennik!A:B,2,FALSE)</f>
        <v>SEVROLL Victoria II 2,7m úchytová lišta oliva tmavá kartáčovaná</v>
      </c>
      <c r="G699" s="1"/>
      <c r="H699" s="1"/>
      <c r="I699" s="1" t="str">
        <f>J8</f>
        <v>kart. tm. oliva</v>
      </c>
      <c r="Z699" s="1" t="b">
        <f t="shared" si="16"/>
        <v>1</v>
      </c>
    </row>
    <row r="700" spans="1:26" s="422" customFormat="1" ht="15" customHeight="1" x14ac:dyDescent="0.3">
      <c r="A700" s="49">
        <v>216621</v>
      </c>
      <c r="B700" s="48"/>
      <c r="C700" s="1" t="str">
        <f>J9</f>
        <v>kart. čierna</v>
      </c>
      <c r="D700" s="49">
        <v>216621</v>
      </c>
      <c r="E700" s="48" t="str">
        <f>+VLOOKUP(A700,cennik!A:G,2,FALSE)</f>
        <v>SEVROLL 04617 Victoria II úchytová lišta 2,7m čierna  kartáčovaná</v>
      </c>
      <c r="F700" s="48" t="str">
        <f>+VLOOKUP(A700,cennik!A:B,2,FALSE)</f>
        <v>SEVROLL 04617 Victoria II úchytová lišta 2,7m čierna  kartáčovaná</v>
      </c>
      <c r="G700" s="1"/>
      <c r="H700" s="1"/>
      <c r="I700" s="1" t="str">
        <f>J9</f>
        <v>kart. čierna</v>
      </c>
      <c r="Z700" s="1" t="b">
        <f t="shared" si="16"/>
        <v>1</v>
      </c>
    </row>
    <row r="701" spans="1:26" s="422" customFormat="1" ht="15" customHeight="1" x14ac:dyDescent="0.3">
      <c r="A701" s="49">
        <v>89098</v>
      </c>
      <c r="B701" s="48" t="s">
        <v>35</v>
      </c>
      <c r="C701" s="1" t="str">
        <f>J6</f>
        <v>oliva</v>
      </c>
      <c r="D701" s="49">
        <v>89098</v>
      </c>
      <c r="E701" s="48" t="str">
        <f>+VLOOKUP(A701,cennik!A:G,2,FALSE)</f>
        <v>SEVROLL Tytan úch.lišta 18mm 2,7m oliva</v>
      </c>
      <c r="F701" s="48" t="str">
        <f>+VLOOKUP(A701,cennik!A:B,2,FALSE)</f>
        <v>SEVROLL Tytan úch.lišta 18mm 2,7m oliva</v>
      </c>
      <c r="G701" s="1" t="e">
        <f>+VLOOKUP(A701,#REF!,4,FALSE)</f>
        <v>#REF!</v>
      </c>
      <c r="H701" s="1"/>
      <c r="I701" s="1" t="str">
        <f>J6</f>
        <v>oliva</v>
      </c>
      <c r="Z701" s="1" t="b">
        <f t="shared" si="16"/>
        <v>1</v>
      </c>
    </row>
    <row r="702" spans="1:26" s="422" customFormat="1" ht="15" customHeight="1" x14ac:dyDescent="0.3">
      <c r="A702" s="49">
        <v>89099</v>
      </c>
      <c r="B702" s="48"/>
      <c r="C702" s="1" t="str">
        <f>J4</f>
        <v xml:space="preserve">strieborná </v>
      </c>
      <c r="D702" s="49">
        <v>89099</v>
      </c>
      <c r="E702" s="48" t="str">
        <f>+VLOOKUP(A702,cennik!A:G,2,FALSE)</f>
        <v>SEVROLL Tytan úch.lišta 18mm 2,7m strieborná</v>
      </c>
      <c r="F702" s="48" t="str">
        <f>+VLOOKUP(A702,cennik!A:B,2,FALSE)</f>
        <v>SEVROLL Tytan úch.lišta 18mm 2,7m strieborná</v>
      </c>
      <c r="G702" s="1" t="e">
        <f>+VLOOKUP(A702,#REF!,4,FALSE)</f>
        <v>#REF!</v>
      </c>
      <c r="H702" s="1"/>
      <c r="I702" s="1" t="str">
        <f>J4</f>
        <v xml:space="preserve">strieborná </v>
      </c>
      <c r="Z702" s="1" t="b">
        <f t="shared" si="16"/>
        <v>1</v>
      </c>
    </row>
    <row r="703" spans="1:26" s="422" customFormat="1" ht="15" customHeight="1" x14ac:dyDescent="0.3">
      <c r="A703" s="49">
        <v>213977</v>
      </c>
      <c r="B703" s="161" t="s">
        <v>828</v>
      </c>
      <c r="C703" s="1" t="str">
        <f>J4</f>
        <v xml:space="preserve">strieborná </v>
      </c>
      <c r="D703" s="49">
        <v>213977</v>
      </c>
      <c r="E703" s="48" t="str">
        <f>+VLOOKUP(A703,cennik!A:G,2,FALSE)</f>
        <v>SEVROLL 04611 Beta 18 úchytová lišta 2,70m strieborná</v>
      </c>
      <c r="F703" s="48" t="str">
        <f>+VLOOKUP(A703,cennik!A:B,2,FALSE)</f>
        <v>SEVROLL 04611 Beta 18 úchytová lišta 2,70m strieborná</v>
      </c>
      <c r="G703" s="1"/>
      <c r="H703" s="1"/>
      <c r="I703" s="1" t="str">
        <f>J4</f>
        <v xml:space="preserve">strieborná </v>
      </c>
      <c r="Z703" s="1" t="b">
        <f t="shared" ref="Z703:Z772" si="17">A703=D703</f>
        <v>1</v>
      </c>
    </row>
    <row r="704" spans="1:26" s="422" customFormat="1" ht="15" customHeight="1" x14ac:dyDescent="0.3">
      <c r="A704" s="49">
        <v>213978</v>
      </c>
      <c r="B704" s="48"/>
      <c r="C704" s="1" t="str">
        <f>J6</f>
        <v>oliva</v>
      </c>
      <c r="D704" s="49">
        <v>213978</v>
      </c>
      <c r="E704" s="48" t="str">
        <f>+VLOOKUP(A704,cennik!A:G,2,FALSE)</f>
        <v>SEVROLL Beta 18 úchytová lišta 2,70m oliva</v>
      </c>
      <c r="F704" s="48" t="str">
        <f>+VLOOKUP(A704,cennik!A:B,2,FALSE)</f>
        <v>SEVROLL Beta 18 úchytová lišta 2,70m oliva</v>
      </c>
      <c r="G704" s="1"/>
      <c r="H704" s="1"/>
      <c r="I704" s="1" t="str">
        <f>J6</f>
        <v>oliva</v>
      </c>
      <c r="Z704" s="1" t="b">
        <f t="shared" si="17"/>
        <v>1</v>
      </c>
    </row>
    <row r="705" spans="1:26" s="422" customFormat="1" ht="15" customHeight="1" x14ac:dyDescent="0.3">
      <c r="A705" s="49">
        <v>246893</v>
      </c>
      <c r="B705" s="161" t="s">
        <v>822</v>
      </c>
      <c r="C705" s="1" t="str">
        <f>J4</f>
        <v xml:space="preserve">strieborná </v>
      </c>
      <c r="D705" s="49">
        <v>246893</v>
      </c>
      <c r="E705" s="48" t="str">
        <f>+VLOOKUP(A705,cennik!A:G,2,FALSE)</f>
        <v>SEVROLL Oaza II úch.lišta 2,7m strieborná</v>
      </c>
      <c r="F705" s="48" t="str">
        <f>+VLOOKUP(A705,cennik!A:B,2,FALSE)</f>
        <v>SEVROLL Oaza II úch.lišta 2,7m strieborná</v>
      </c>
      <c r="G705" s="1"/>
      <c r="H705" s="1"/>
      <c r="I705" s="1" t="str">
        <f>J4</f>
        <v xml:space="preserve">strieborná </v>
      </c>
      <c r="Z705" s="1" t="b">
        <f t="shared" si="17"/>
        <v>1</v>
      </c>
    </row>
    <row r="706" spans="1:26" s="422" customFormat="1" ht="15" customHeight="1" x14ac:dyDescent="0.3">
      <c r="A706" s="49">
        <v>246894</v>
      </c>
      <c r="B706" s="48"/>
      <c r="C706" s="1" t="str">
        <f>J6</f>
        <v>oliva</v>
      </c>
      <c r="D706" s="49">
        <v>246894</v>
      </c>
      <c r="E706" s="48" t="str">
        <f>+VLOOKUP(A706,cennik!A:G,2,FALSE)</f>
        <v>SEVROLL Oaza II úch. Lišta 2,7m oliva</v>
      </c>
      <c r="F706" s="48" t="str">
        <f>+VLOOKUP(A706,cennik!A:B,2,FALSE)</f>
        <v>SEVROLL Oaza II úch. Lišta 2,7m oliva</v>
      </c>
      <c r="G706" s="1"/>
      <c r="H706" s="1"/>
      <c r="I706" s="1" t="str">
        <f>J6</f>
        <v>oliva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 xml:space="preserve">strieborná </v>
      </c>
      <c r="D707" s="49">
        <v>135136</v>
      </c>
      <c r="E707" s="48" t="str">
        <f>+VLOOKUP(A707,cennik!A:G,2,FALSE)</f>
        <v>SEVROLL 05546 Factor 18 II úchytová lišta 2,7m strieborná</v>
      </c>
      <c r="F707" s="48" t="str">
        <f>+VLOOKUP(A707,cennik!A:B,2,FALSE)</f>
        <v>SEVROLL 05546 Factor 18 II úchytová lišta 2,7m strieborná</v>
      </c>
      <c r="G707" s="1" t="e">
        <f>+VLOOKUP(A707,#REF!,4,FALSE)</f>
        <v>#REF!</v>
      </c>
      <c r="I707" s="1" t="str">
        <f>J4</f>
        <v xml:space="preserve">strieborná 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oliva</v>
      </c>
      <c r="D708" s="49">
        <v>135503</v>
      </c>
      <c r="E708" s="48" t="str">
        <f>+VLOOKUP(A708,cennik!A:G,2,FALSE)</f>
        <v>SEVROLL 04548 Factor 18 II úchytová lišta 2,7m oliva</v>
      </c>
      <c r="F708" s="48" t="str">
        <f>+VLOOKUP(A708,cennik!A:B,2,FALSE)</f>
        <v>SEVROLL 04548 Factor 18 II úchytová lišta 2,7m oliva</v>
      </c>
      <c r="G708" s="1" t="e">
        <f>+VLOOKUP(A708,#REF!,4,FALSE)</f>
        <v>#REF!</v>
      </c>
      <c r="I708" s="1" t="str">
        <f>J6</f>
        <v>oliva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 xml:space="preserve">strieborná </v>
      </c>
      <c r="D709" s="49">
        <v>196711</v>
      </c>
      <c r="E709" s="48" t="str">
        <f>+VLOOKUP(A709,cennik!A:G,2,FALSE)</f>
        <v>Sevroll 85515 Lux III úchytová lišta 2,7m strieborná</v>
      </c>
      <c r="F709" s="48" t="str">
        <f>+VLOOKUP(A709,cennik!A:B,2,FALSE)</f>
        <v>Sevroll 85515 Lux III úchytová lišta 2,7m strieborná</v>
      </c>
      <c r="H709" s="1">
        <v>2700</v>
      </c>
      <c r="I709" s="1" t="str">
        <f>J4</f>
        <v xml:space="preserve">strieborná 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zlatá</v>
      </c>
      <c r="D710" s="49">
        <v>489624</v>
      </c>
      <c r="E710" s="48" t="str">
        <f>+VLOOKUP(A710,cennik!A:G,2,FALSE)</f>
        <v>Sevroll 05000 Lux III úchytová lišta 2,7m zlatá</v>
      </c>
      <c r="F710" s="48" t="str">
        <f>+VLOOKUP(A710,cennik!A:B,2,FALSE)</f>
        <v>Sevroll 05000 Lux III úchytová lišta 2,7m zlatá</v>
      </c>
      <c r="H710" s="1">
        <v>2700</v>
      </c>
      <c r="I710" s="1" t="str">
        <f>J5</f>
        <v>zlatá</v>
      </c>
    </row>
    <row r="711" spans="1:26" ht="15" customHeight="1" x14ac:dyDescent="0.3">
      <c r="A711" s="49">
        <v>196709</v>
      </c>
      <c r="B711" s="48"/>
      <c r="C711" s="1" t="str">
        <f>J6</f>
        <v>oliva</v>
      </c>
      <c r="D711" s="49">
        <v>196709</v>
      </c>
      <c r="E711" s="48" t="str">
        <f>+VLOOKUP(A711,cennik!A:G,2,FALSE)</f>
        <v>Sevroll 85615 Lux III úchytová lišta 2,7m oliva</v>
      </c>
      <c r="F711" s="48" t="str">
        <f>+VLOOKUP(A711,cennik!A:B,2,FALSE)</f>
        <v>Sevroll 85615 Lux III úchytová lišta 2,7m oliva</v>
      </c>
      <c r="I711" s="1" t="str">
        <f>J6</f>
        <v>oliva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 xml:space="preserve">strieborná </v>
      </c>
      <c r="D712" s="49">
        <v>489625</v>
      </c>
      <c r="E712" s="48" t="str">
        <f>+VLOOKUP(A712,cennik!A:G,2,FALSE)</f>
        <v>Sevroll 81002 Lux III úchytová lišta 3m strieborná</v>
      </c>
      <c r="F712" s="48" t="str">
        <f>+VLOOKUP(A712,cennik!A:B,2,FALSE)</f>
        <v>Sevroll 81002 Lux III úchytová lišta 3m strieborná</v>
      </c>
      <c r="H712" s="1">
        <v>3000</v>
      </c>
      <c r="I712" s="1" t="str">
        <f>J4</f>
        <v xml:space="preserve">strieborná </v>
      </c>
    </row>
    <row r="713" spans="1:26" ht="15" customHeight="1" x14ac:dyDescent="0.3">
      <c r="A713" s="49">
        <v>489948</v>
      </c>
      <c r="B713" s="48"/>
      <c r="C713" s="1" t="str">
        <f>J6</f>
        <v>oliva</v>
      </c>
      <c r="D713" s="49">
        <v>489948</v>
      </c>
      <c r="E713" s="48" t="str">
        <f>+VLOOKUP(A713,cennik!A:G,2,FALSE)</f>
        <v>Sevroll 85622  Lux III úchytová lišta 3m oliva</v>
      </c>
      <c r="F713" s="48" t="str">
        <f>+VLOOKUP(A713,cennik!A:B,2,FALSE)</f>
        <v>Sevroll 85622  Lux III úchytová lišta 3m oliva</v>
      </c>
      <c r="I713" s="1" t="str">
        <f>J6</f>
        <v>oliva</v>
      </c>
    </row>
    <row r="714" spans="1:26" ht="15" customHeight="1" x14ac:dyDescent="0.3">
      <c r="A714" s="49">
        <v>489949</v>
      </c>
      <c r="B714" s="48"/>
      <c r="C714" s="1" t="str">
        <f>J5</f>
        <v>zlatá</v>
      </c>
      <c r="D714" s="49">
        <v>489949</v>
      </c>
      <c r="E714" s="48" t="str">
        <f>+VLOOKUP(A714,cennik!A:G,2,FALSE)</f>
        <v>Sevroll 05001 Lux III úchytová lišta 3m zlatá</v>
      </c>
      <c r="F714" s="48" t="str">
        <f>+VLOOKUP(A714,cennik!A:B,2,FALSE)</f>
        <v>Sevroll 05001 Lux III úchytová lišta 3m zlatá</v>
      </c>
      <c r="I714" s="1" t="str">
        <f>J5</f>
        <v>zlatá</v>
      </c>
    </row>
    <row r="715" spans="1:26" ht="15" customHeight="1" x14ac:dyDescent="0.3">
      <c r="A715" s="426">
        <v>96427</v>
      </c>
      <c r="B715" s="424" t="s">
        <v>78</v>
      </c>
      <c r="C715" s="422" t="str">
        <f>J6</f>
        <v>oliva</v>
      </c>
      <c r="D715" s="426">
        <v>96427</v>
      </c>
      <c r="E715" s="424" t="str">
        <f>+VLOOKUP(A715,cennik!A:G,2,FALSE)</f>
        <v>SEVROLL 04377 Fox II úchytová lišta 2,7m oliva</v>
      </c>
      <c r="F715" s="424" t="str">
        <f>+VLOOKUP(A715,cennik!A:B,2,FALSE)</f>
        <v>SEVROLL 04377 Fox II úchytová lišta 2,7m oliva</v>
      </c>
      <c r="G715" s="422"/>
      <c r="H715" s="422"/>
      <c r="I715" s="422" t="str">
        <f>J6</f>
        <v>oliva</v>
      </c>
      <c r="Z715" s="1" t="b">
        <f t="shared" si="17"/>
        <v>1</v>
      </c>
    </row>
    <row r="716" spans="1:26" ht="15" customHeight="1" x14ac:dyDescent="0.3">
      <c r="A716" s="426">
        <v>96428</v>
      </c>
      <c r="B716" s="424"/>
      <c r="C716" s="422" t="str">
        <f>J5</f>
        <v>zlatá</v>
      </c>
      <c r="D716" s="426">
        <v>96428</v>
      </c>
      <c r="E716" s="424" t="str">
        <f>+VLOOKUP(A716,cennik!A:G,2,FALSE)</f>
        <v>SEVROLL Fox úchytová lišta 2,7m zlatá</v>
      </c>
      <c r="F716" s="424" t="str">
        <f>+VLOOKUP(A716,cennik!A:B,2,FALSE)</f>
        <v>SEVROLL Fox úchytová lišta 2,7m zlatá</v>
      </c>
      <c r="G716" s="422"/>
      <c r="H716" s="422"/>
      <c r="I716" s="422" t="str">
        <f>J5</f>
        <v>zlatá</v>
      </c>
      <c r="Z716" s="1" t="b">
        <f t="shared" si="17"/>
        <v>1</v>
      </c>
    </row>
    <row r="717" spans="1:26" ht="15" customHeight="1" x14ac:dyDescent="0.3">
      <c r="A717" s="426">
        <v>96429</v>
      </c>
      <c r="B717" s="424"/>
      <c r="C717" s="422" t="str">
        <f>J7</f>
        <v>oliva kartáčovaná</v>
      </c>
      <c r="D717" s="426">
        <v>96429</v>
      </c>
      <c r="E717" s="424" t="str">
        <f>+VLOOKUP(A717,cennik!A:G,2,FALSE)</f>
        <v>SEVROLL 04376-Y Fox II úchytová lišta 2,7m oliva kartáčovaná</v>
      </c>
      <c r="F717" s="424" t="str">
        <f>+VLOOKUP(A717,cennik!A:B,2,FALSE)</f>
        <v>SEVROLL 04376-Y Fox II úchytová lišta 2,7m oliva kartáčovaná</v>
      </c>
      <c r="G717" s="422"/>
      <c r="H717" s="422"/>
      <c r="I717" s="422" t="str">
        <f>J7</f>
        <v>oliva kartáčovaná</v>
      </c>
      <c r="Z717" s="1" t="b">
        <f t="shared" si="17"/>
        <v>1</v>
      </c>
    </row>
    <row r="718" spans="1:26" ht="15" customHeight="1" x14ac:dyDescent="0.3">
      <c r="A718" s="426">
        <v>96421</v>
      </c>
      <c r="B718" s="424"/>
      <c r="C718" s="422" t="str">
        <f>J4</f>
        <v xml:space="preserve">strieborná </v>
      </c>
      <c r="D718" s="426">
        <v>96421</v>
      </c>
      <c r="E718" s="424" t="str">
        <f>+VLOOKUP(A718,cennik!A:G,2,FALSE)</f>
        <v>SEVROLL 04382 Fox II úchytová lišta 2,7m strieborná</v>
      </c>
      <c r="F718" s="424" t="str">
        <f>+VLOOKUP(A718,cennik!A:B,2,FALSE)</f>
        <v>SEVROLL 04382 Fox II úchytová lišta 2,7m strieborná</v>
      </c>
      <c r="G718" s="422"/>
      <c r="H718" s="422"/>
      <c r="I718" s="422" t="str">
        <f>J4</f>
        <v xml:space="preserve">strieborná </v>
      </c>
      <c r="Z718" s="1" t="b">
        <f t="shared" si="17"/>
        <v>1</v>
      </c>
    </row>
    <row r="719" spans="1:26" ht="15" customHeight="1" x14ac:dyDescent="0.3">
      <c r="A719" s="426">
        <v>205074</v>
      </c>
      <c r="B719" s="424"/>
      <c r="C719" s="422" t="str">
        <f>J8</f>
        <v>kart. tm. oliva</v>
      </c>
      <c r="D719" s="426">
        <v>205074</v>
      </c>
      <c r="E719" s="424" t="str">
        <f>+VLOOKUP(A719,cennik!A:G,2,FALSE)</f>
        <v>SEVROLL 04378 Fox II úchytová lišta 2,7m oliva tmavá kartáčovaná</v>
      </c>
      <c r="F719" s="424" t="str">
        <f>+VLOOKUP(A719,cennik!A:B,2,FALSE)</f>
        <v>SEVROLL 04378 Fox II úchytová lišta 2,7m oliva tmavá kartáčovaná</v>
      </c>
      <c r="G719" s="422"/>
      <c r="H719" s="422"/>
      <c r="I719" s="422" t="str">
        <f>J8</f>
        <v>kart. tm. oliva</v>
      </c>
      <c r="Z719" s="1" t="b">
        <f t="shared" si="17"/>
        <v>1</v>
      </c>
    </row>
    <row r="720" spans="1:26" ht="15" customHeight="1" x14ac:dyDescent="0.3">
      <c r="A720" s="426">
        <v>205077</v>
      </c>
      <c r="B720" s="424"/>
      <c r="C720" s="422" t="str">
        <f>J9</f>
        <v>kart. čierna</v>
      </c>
      <c r="D720" s="426">
        <v>205077</v>
      </c>
      <c r="E720" s="424" t="str">
        <f>+VLOOKUP(A720,cennik!A:G,2,FALSE)</f>
        <v>SEVROLL 04375 Fox II úchytová lišta 2,7m čierna  kartáčovaná</v>
      </c>
      <c r="F720" s="424" t="str">
        <f>+VLOOKUP(A720,cennik!A:B,2,FALSE)</f>
        <v>SEVROLL 04375 Fox II úchytová lišta 2,7m čierna  kartáčovaná</v>
      </c>
      <c r="G720" s="422"/>
      <c r="H720" s="422"/>
      <c r="I720" s="422" t="str">
        <f>J9</f>
        <v>kart. čierna</v>
      </c>
      <c r="Z720" s="1" t="b">
        <f t="shared" si="17"/>
        <v>1</v>
      </c>
    </row>
    <row r="721" spans="1:26" ht="15" customHeight="1" x14ac:dyDescent="0.3">
      <c r="A721" s="426">
        <v>489302</v>
      </c>
      <c r="B721" s="424"/>
      <c r="C721" s="422" t="str">
        <f>J18</f>
        <v>biela mat</v>
      </c>
      <c r="D721" s="426">
        <v>489302</v>
      </c>
      <c r="E721" s="424" t="str">
        <f>+VLOOKUP(A721,cennik!A:G,2,FALSE)</f>
        <v>SEVROLL 05900 Fox II úchytová lišta 2,7m biela mat</v>
      </c>
      <c r="F721" s="424" t="str">
        <f>+VLOOKUP(A721,cennik!A:B,2,FALSE)</f>
        <v>SEVROLL 05900 Fox II úchytová lišta 2,7m biela mat</v>
      </c>
      <c r="G721" s="422"/>
      <c r="H721" s="422"/>
      <c r="I721" s="422" t="str">
        <f>J18</f>
        <v>biela mat</v>
      </c>
      <c r="Z721" s="1" t="b">
        <f t="shared" si="17"/>
        <v>1</v>
      </c>
    </row>
    <row r="722" spans="1:26" ht="15" customHeight="1" x14ac:dyDescent="0.3">
      <c r="A722" s="426">
        <v>265065</v>
      </c>
      <c r="B722" s="424"/>
      <c r="C722" s="422" t="str">
        <f>J15</f>
        <v>biela lesk</v>
      </c>
      <c r="D722" s="426">
        <v>265065</v>
      </c>
      <c r="E722" s="424" t="str">
        <f>+VLOOKUP(A722,cennik!A:G,2,FALSE)</f>
        <v>SEVROLL 04379 Fox II úchytová lišta 2,7m biela lesk</v>
      </c>
      <c r="F722" s="424" t="str">
        <f>+VLOOKUP(A722,cennik!A:B,2,FALSE)</f>
        <v>SEVROLL 04379 Fox II úchytová lišta 2,7m biela lesk</v>
      </c>
      <c r="G722" s="422"/>
      <c r="H722" s="422"/>
      <c r="I722" s="422" t="str">
        <f>J15</f>
        <v>biela lesk</v>
      </c>
      <c r="Z722" s="1" t="b">
        <f t="shared" si="17"/>
        <v>1</v>
      </c>
    </row>
    <row r="723" spans="1:26" ht="15" customHeight="1" x14ac:dyDescent="0.3">
      <c r="A723" s="423">
        <v>395506</v>
      </c>
      <c r="B723" s="422"/>
      <c r="C723" s="422" t="str">
        <f>J16</f>
        <v>čierna lesk</v>
      </c>
      <c r="D723" s="423">
        <v>395506</v>
      </c>
      <c r="E723" s="424" t="str">
        <f>+VLOOKUP(A723,cennik!A:G,2,FALSE)</f>
        <v>SEVROLL 05154 Fox II úchytová lišta 2,7m čierna lesk</v>
      </c>
      <c r="F723" s="424" t="str">
        <f>+VLOOKUP(A723,cennik!A:B,2,FALSE)</f>
        <v>SEVROLL 05154 Fox II úchytová lišta 2,7m čierna lesk</v>
      </c>
      <c r="G723" s="422"/>
      <c r="H723" s="422"/>
      <c r="I723" s="422" t="str">
        <f>J16</f>
        <v>čierna lesk</v>
      </c>
      <c r="Z723" s="1" t="b">
        <f t="shared" si="17"/>
        <v>1</v>
      </c>
    </row>
    <row r="724" spans="1:26" ht="15" customHeight="1" x14ac:dyDescent="0.3">
      <c r="A724" s="423">
        <v>495587</v>
      </c>
      <c r="B724" s="422"/>
      <c r="C724" s="422" t="str">
        <f>J12</f>
        <v>grafit</v>
      </c>
      <c r="D724" s="423">
        <v>495587</v>
      </c>
      <c r="E724" s="424" t="str">
        <f>+VLOOKUP(A724,cennik!A:G,2,FALSE)</f>
        <v>SEVROLL 06019 Fox II úch.lišta 2,7m čierna grafit</v>
      </c>
      <c r="F724" s="424" t="str">
        <f>+VLOOKUP(A724,cennik!A:B,2,FALSE)</f>
        <v>SEVROLL 06019 Fox II úch.lišta 2,7m čierna grafit</v>
      </c>
      <c r="G724" s="422"/>
      <c r="H724" s="422"/>
      <c r="I724" s="422"/>
      <c r="Z724" s="1" t="b">
        <f t="shared" si="17"/>
        <v>1</v>
      </c>
    </row>
    <row r="725" spans="1:26" ht="15" customHeight="1" x14ac:dyDescent="0.3">
      <c r="A725" s="422">
        <v>425057</v>
      </c>
      <c r="B725" s="422"/>
      <c r="C725" s="422" t="str">
        <f>J17</f>
        <v>čierna mat</v>
      </c>
      <c r="D725" s="422">
        <v>425057</v>
      </c>
      <c r="E725" s="424" t="str">
        <f>+VLOOKUP(A725,cennik!A:G,2,FALSE)</f>
        <v>SEVROLL 05307 Fox II úchytová lišta 2,7m čierna mat</v>
      </c>
      <c r="F725" s="424" t="str">
        <f>+VLOOKUP(A725,cennik!A:B,2,FALSE)</f>
        <v>SEVROLL 05307 Fox II úchytová lišta 2,7m čierna mat</v>
      </c>
      <c r="G725" s="422"/>
      <c r="H725" s="422"/>
      <c r="I725" s="422" t="str">
        <f>J17</f>
        <v>čierna mat</v>
      </c>
      <c r="Z725" s="1" t="b">
        <f t="shared" si="17"/>
        <v>1</v>
      </c>
    </row>
    <row r="726" spans="1:26" ht="15" customHeight="1" x14ac:dyDescent="0.3">
      <c r="A726" s="422">
        <v>524826</v>
      </c>
      <c r="B726" s="422"/>
      <c r="C726" s="422" t="str">
        <f>J22</f>
        <v>čierna štrukturálna</v>
      </c>
      <c r="D726" s="422">
        <v>524826</v>
      </c>
      <c r="E726" s="424" t="str">
        <f>+VLOOKUP(A726,cennik!A:G,2,FALSE)</f>
        <v>SEVROLL 06126 Fox II úch.lišta 2,7m čierna štrukturálna</v>
      </c>
      <c r="F726" s="424" t="str">
        <f>+VLOOKUP(A726,cennik!A:B,2,FALSE)</f>
        <v>SEVROLL 06126 Fox II úch.lišta 2,7m čierna štrukturálna</v>
      </c>
      <c r="G726" s="422"/>
      <c r="H726" s="422"/>
      <c r="I726" s="422" t="str">
        <f>J22</f>
        <v>čierna štrukturálna</v>
      </c>
    </row>
    <row r="727" spans="1:26" ht="15" customHeight="1" x14ac:dyDescent="0.3">
      <c r="A727" s="422">
        <v>372604</v>
      </c>
      <c r="B727" s="446" t="s">
        <v>2626</v>
      </c>
      <c r="C727" s="422" t="str">
        <f>J4</f>
        <v xml:space="preserve">strieborná </v>
      </c>
      <c r="D727" s="422">
        <v>372604</v>
      </c>
      <c r="E727" s="424" t="str">
        <f>+VLOOKUP(A727,cennik!A:G,2,FALSE)</f>
        <v>SEVROLL 04906 Vitara úchytová lišta 2,7m strieborná</v>
      </c>
      <c r="F727" s="424" t="str">
        <f>+VLOOKUP(A727,cennik!A:B,2,FALSE)</f>
        <v>SEVROLL 04906 Vitara úchytová lišta 2,7m strieborná</v>
      </c>
      <c r="G727" s="422"/>
      <c r="H727" s="422"/>
      <c r="I727" s="422"/>
      <c r="Z727" s="1" t="b">
        <f t="shared" si="17"/>
        <v>1</v>
      </c>
    </row>
    <row r="728" spans="1:26" ht="15" customHeight="1" x14ac:dyDescent="0.3">
      <c r="A728" s="422">
        <v>372605</v>
      </c>
      <c r="B728" s="446" t="s">
        <v>2626</v>
      </c>
      <c r="C728" s="422" t="str">
        <f>J6</f>
        <v>oliva</v>
      </c>
      <c r="D728" s="422">
        <v>372605</v>
      </c>
      <c r="E728" s="424" t="str">
        <f>+VLOOKUP(A728,cennik!A:G,2,FALSE)</f>
        <v>SEVROLL 04905 Vitara úchytová lišta 2,7m oliva</v>
      </c>
      <c r="F728" s="424" t="str">
        <f>+VLOOKUP(A728,cennik!A:B,2,FALSE)</f>
        <v>SEVROLL 04905 Vitara úchytová lišta 2,7m oliva</v>
      </c>
      <c r="G728" s="422"/>
      <c r="H728" s="422"/>
      <c r="I728" s="422"/>
      <c r="Z728" s="1" t="b">
        <f t="shared" si="17"/>
        <v>1</v>
      </c>
    </row>
    <row r="729" spans="1:26" ht="15" customHeight="1" x14ac:dyDescent="0.3">
      <c r="A729" s="422">
        <v>489309</v>
      </c>
      <c r="B729" s="446" t="s">
        <v>2626</v>
      </c>
      <c r="C729" s="422" t="str">
        <f>J17</f>
        <v>čierna mat</v>
      </c>
      <c r="D729" s="422">
        <v>489309</v>
      </c>
      <c r="E729" s="424" t="str">
        <f>+VLOOKUP(A729,cennik!A:G,2,FALSE)</f>
        <v>SEVROLL 05982 Vitara úchytová lišta 2,7m čierna mat</v>
      </c>
      <c r="F729" s="424" t="str">
        <f>+VLOOKUP(A729,cennik!A:B,2,FALSE)</f>
        <v>SEVROLL 05982 Vitara úchytová lišta 2,7m čierna mat</v>
      </c>
      <c r="G729" s="422"/>
      <c r="H729" s="422"/>
      <c r="I729" s="422"/>
      <c r="Z729" s="1" t="b">
        <f t="shared" si="17"/>
        <v>1</v>
      </c>
    </row>
    <row r="730" spans="1:26" ht="15" customHeight="1" x14ac:dyDescent="0.3">
      <c r="A730" s="422">
        <v>372606</v>
      </c>
      <c r="B730" s="446" t="s">
        <v>2626</v>
      </c>
      <c r="C730" s="422" t="str">
        <f>J15</f>
        <v>biela lesk</v>
      </c>
      <c r="D730" s="422">
        <v>372606</v>
      </c>
      <c r="E730" s="424" t="str">
        <f>+VLOOKUP(A730,cennik!A:G,2,FALSE)</f>
        <v>SEVROLL 04909 Vitara úchytová lišta 2,7m biela lesk</v>
      </c>
      <c r="F730" s="424" t="str">
        <f>+VLOOKUP(A730,cennik!A:B,2,FALSE)</f>
        <v>SEVROLL 04909 Vitara úchytová lišta 2,7m biela lesk</v>
      </c>
      <c r="G730" s="422"/>
      <c r="H730" s="422"/>
      <c r="I730" s="422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oliva</v>
      </c>
      <c r="D731" s="49">
        <v>245816</v>
      </c>
      <c r="E731" s="48" t="str">
        <f>+VLOOKUP(A731,cennik!A:G,2,FALSE)</f>
        <v>SEVROLL 04571 Focus II 18mm úchytová lišta 2,7m oliva</v>
      </c>
      <c r="F731" s="48" t="str">
        <f>+VLOOKUP(A731,cennik!A:B,2,FALSE)</f>
        <v>SEVROLL 04571 Focus II 18mm úchytová lišta 2,7m oliva</v>
      </c>
      <c r="I731" s="1" t="str">
        <f>J6</f>
        <v>oliva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 xml:space="preserve">strieborná </v>
      </c>
      <c r="D732" s="49">
        <v>245815</v>
      </c>
      <c r="E732" s="48" t="str">
        <f>+VLOOKUP(A732,cennik!A:G,2,FALSE)</f>
        <v>SEVROLL 04572 Focus II 18mm úchytová lišta 2,7m strieborná</v>
      </c>
      <c r="F732" s="48" t="str">
        <f>+VLOOKUP(A732,cennik!A:B,2,FALSE)</f>
        <v>SEVROLL 04572 Focus II 18mm úchytová lišta 2,7m strieborná</v>
      </c>
      <c r="I732" s="1" t="str">
        <f>J4</f>
        <v xml:space="preserve">strieborná 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čierna mat</v>
      </c>
      <c r="D733" s="49">
        <v>489301</v>
      </c>
      <c r="E733" s="48" t="str">
        <f>+VLOOKUP(A733,cennik!A:G,2,FALSE)</f>
        <v>SEVROLL 05903 Focus II 18mm úchytová lišta 2,7m čierna mat</v>
      </c>
      <c r="F733" s="48" t="str">
        <f>+VLOOKUP(A733,cennik!A:B,2,FALSE)</f>
        <v>SEVROLL 05903 Focus II 18mm úchytová lišta 2,7m čierna mat</v>
      </c>
      <c r="Z733" s="1" t="b">
        <f t="shared" si="17"/>
        <v>1</v>
      </c>
    </row>
    <row r="734" spans="1:26" ht="15" customHeight="1" x14ac:dyDescent="0.3">
      <c r="A734" s="49">
        <v>284598</v>
      </c>
      <c r="B734" s="48"/>
      <c r="C734" s="1" t="str">
        <f>J5</f>
        <v>zlatá</v>
      </c>
      <c r="D734" s="49">
        <v>284598</v>
      </c>
      <c r="E734" s="48" t="str">
        <f>+VLOOKUP(A734,cennik!A:G,2,FALSE)</f>
        <v>SEVROLL 04573 Focus II 18mm úchytová lišta 2,7m zlatá</v>
      </c>
      <c r="F734" s="48" t="str">
        <f>+VLOOKUP(A734,cennik!A:B,2,FALSE)</f>
        <v>SEVROLL 04573 Focus II 18mm úchytová lišta 2,7m zlatá</v>
      </c>
      <c r="I734" s="1" t="str">
        <f>J5</f>
        <v>zlatá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oliva</v>
      </c>
      <c r="D735" s="49">
        <v>90105</v>
      </c>
      <c r="E735" s="48" t="str">
        <f>+VLOOKUP(A735,cennik!A:G,2,FALSE)</f>
        <v>SEVROLL 04534 Universal 18 úchytová lišta 2,7m oliva</v>
      </c>
      <c r="F735" s="48" t="str">
        <f>+VLOOKUP(A735,cennik!A:B,2,FALSE)</f>
        <v>SEVROLL 04534 Universal 18 úchytová lišta 2,7m oliva</v>
      </c>
      <c r="I735" s="1" t="str">
        <f>J6</f>
        <v>oliva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 xml:space="preserve">strieborná </v>
      </c>
      <c r="D736" s="49">
        <v>90106</v>
      </c>
      <c r="E736" s="48" t="str">
        <f>+VLOOKUP(A736,cennik!A:G,2,FALSE)</f>
        <v>SEVROLL 04535 Universal 18 úchytová lišta 2,7m strieborná</v>
      </c>
      <c r="F736" s="48" t="str">
        <f>+VLOOKUP(A736,cennik!A:B,2,FALSE)</f>
        <v>SEVROLL 04535 Universal 18 úchytová lišta 2,7m strieborná</v>
      </c>
      <c r="I736" s="1" t="str">
        <f>J4</f>
        <v xml:space="preserve">strieborná 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 xml:space="preserve">1700-strieborná </v>
      </c>
      <c r="D737" s="49">
        <v>98110</v>
      </c>
      <c r="E737" s="48" t="str">
        <f>+VLOOKUP(A737,cennik!A:G,2,FALSE)</f>
        <v>SEVROLL HOR. VEDENIE COMFORT 1,70 M STR.</v>
      </c>
      <c r="F737" s="48" t="str">
        <f>+VLOOKUP(A737,cennik!A:B,2,FALSE)</f>
        <v>SEVROLL HOR. VEDENIE COMFORT 1,70 M STR.</v>
      </c>
      <c r="H737" s="1" t="s">
        <v>464</v>
      </c>
      <c r="I737" s="1" t="str">
        <f>CONCATENATE(H737,"-",J4)</f>
        <v xml:space="preserve">1700-strieborná 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 xml:space="preserve">2350-strieborná </v>
      </c>
      <c r="D738" s="49">
        <v>227321</v>
      </c>
      <c r="E738" s="48" t="str">
        <f>+VLOOKUP(A738,cennik!A:G,2,FALSE)</f>
        <v>SEVROLL Comfort horné vedenie 2,35m strieborná</v>
      </c>
      <c r="F738" s="48" t="str">
        <f>+VLOOKUP(A738,cennik!A:B,2,FALSE)</f>
        <v>SEVROLL Comfort horné vedenie 2,35m strieborná</v>
      </c>
      <c r="H738" s="1" t="s">
        <v>465</v>
      </c>
      <c r="I738" s="1" t="str">
        <f>CONCATENATE(H738,"-",J4)</f>
        <v xml:space="preserve">2350-strieborná 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 xml:space="preserve">3000-strieborná </v>
      </c>
      <c r="D739" s="49">
        <v>227324</v>
      </c>
      <c r="E739" s="48" t="str">
        <f>+VLOOKUP(A739,cennik!A:G,2,FALSE)</f>
        <v>SEVROLL Comfort horné vedenie 3m strieborné</v>
      </c>
      <c r="F739" s="48" t="str">
        <f>+VLOOKUP(A739,cennik!A:B,2,FALSE)</f>
        <v>SEVROLL Comfort horné vedenie 3m strieborné</v>
      </c>
      <c r="H739" s="1" t="s">
        <v>466</v>
      </c>
      <c r="I739" s="1" t="str">
        <f>CONCATENATE(H739,"-",J4)</f>
        <v xml:space="preserve">3000-strieborná 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 xml:space="preserve">4050-strieborná </v>
      </c>
      <c r="D740" s="49">
        <v>98079</v>
      </c>
      <c r="E740" s="48" t="str">
        <f>+VLOOKUP(A740,cennik!A:G,2,FALSE)</f>
        <v>SEVROLL -COMFORT HORNÉ VEDENI 4,05M STR</v>
      </c>
      <c r="F740" s="48" t="str">
        <f>+VLOOKUP(A740,cennik!A:B,2,FALSE)</f>
        <v>SEVROLL -COMFORT HORNÉ VEDENI 4,05M STR</v>
      </c>
      <c r="H740" s="1" t="s">
        <v>467</v>
      </c>
      <c r="I740" s="1" t="str">
        <f>CONCATENATE(H740,"-",J4)</f>
        <v xml:space="preserve">4050-strieborná 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 xml:space="preserve">6000-strieborná </v>
      </c>
      <c r="D741" s="49">
        <v>227196</v>
      </c>
      <c r="E741" s="48" t="str">
        <f>+VLOOKUP(A741,cennik!A:G,2,FALSE)</f>
        <v>SEVROLL Comfort horné vedenie 6m strieborné</v>
      </c>
      <c r="F741" s="48" t="str">
        <f>+VLOOKUP(A741,cennik!A:B,2,FALSE)</f>
        <v>SEVROLL Comfort horné vedenie 6m strieborné</v>
      </c>
      <c r="H741" s="144" t="s">
        <v>536</v>
      </c>
      <c r="I741" s="1" t="str">
        <f>CONCATENATE(H741,"-",J4)</f>
        <v xml:space="preserve">6000-strieborná 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1700-oliva</v>
      </c>
      <c r="D742" s="49">
        <v>98111</v>
      </c>
      <c r="E742" s="48" t="str">
        <f>+VLOOKUP(A742,cennik!A:G,2,FALSE)</f>
        <v>SEVROLL Comfort horné vedenie 1,7m oliva</v>
      </c>
      <c r="F742" s="48" t="str">
        <f>+VLOOKUP(A742,cennik!A:B,2,FALSE)</f>
        <v>SEVROLL Comfort horné vedenie 1,7m oliva</v>
      </c>
      <c r="H742" s="1" t="s">
        <v>464</v>
      </c>
      <c r="I742" s="1" t="str">
        <f>CONCATENATE(H742,"-",J6)</f>
        <v>1700-oliva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2350-oliva</v>
      </c>
      <c r="D743" s="49">
        <v>98113</v>
      </c>
      <c r="E743" s="48" t="str">
        <f>+VLOOKUP(A743,cennik!A:G,2,FALSE)</f>
        <v>SEVROLL HOR.VEDENIE COMFORT 2,35 M OLIVA</v>
      </c>
      <c r="F743" s="48" t="str">
        <f>+VLOOKUP(A743,cennik!A:B,2,FALSE)</f>
        <v>SEVROLL HOR.VEDENIE COMFORT 2,35 M OLIVA</v>
      </c>
      <c r="H743" s="1" t="s">
        <v>465</v>
      </c>
      <c r="I743" s="1" t="str">
        <f>CONCATENATE(H743,"-",J6)</f>
        <v>2350-oliva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3000-oliva</v>
      </c>
      <c r="D744" s="49">
        <v>98115</v>
      </c>
      <c r="E744" s="48" t="str">
        <f>+VLOOKUP(A744,cennik!A:G,2,FALSE)</f>
        <v>SEVROLL HOR.VEDENIE COMFORT 3 M OLIVA</v>
      </c>
      <c r="F744" s="48" t="str">
        <f>+VLOOKUP(A744,cennik!A:B,2,FALSE)</f>
        <v>SEVROLL HOR.VEDENIE COMFORT 3 M OLIVA</v>
      </c>
      <c r="H744" s="1" t="s">
        <v>466</v>
      </c>
      <c r="I744" s="1" t="str">
        <f>CONCATENATE(H744,"-",J6)</f>
        <v>3000-oliva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4050-oliva</v>
      </c>
      <c r="D745" s="49">
        <v>98117</v>
      </c>
      <c r="E745" s="48" t="str">
        <f>+VLOOKUP(A745,cennik!A:G,2,FALSE)</f>
        <v>SEVROLL HOR.VEDENIE COMFORT 4,05 M OLIVA</v>
      </c>
      <c r="F745" s="48" t="str">
        <f>+VLOOKUP(A745,cennik!A:B,2,FALSE)</f>
        <v>SEVROLL HOR.VEDENIE COMFORT 4,05 M OLIVA</v>
      </c>
      <c r="H745" s="1" t="s">
        <v>467</v>
      </c>
      <c r="I745" s="1" t="str">
        <f>CONCATENATE(H745,"-",J6)</f>
        <v>4050-oliva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6000-oliva</v>
      </c>
      <c r="D746" s="49">
        <v>227197</v>
      </c>
      <c r="E746" s="48" t="str">
        <f>+VLOOKUP(A746,cennik!A:G,2,FALSE)</f>
        <v>SEVROLL Comfort horné vedenie 6m oliva</v>
      </c>
      <c r="F746" s="48" t="str">
        <f>+VLOOKUP(A746,cennik!A:B,2,FALSE)</f>
        <v>SEVROLL Comfort horné vedenie 6m oliva</v>
      </c>
      <c r="H746" s="144" t="s">
        <v>536</v>
      </c>
      <c r="I746" s="1" t="str">
        <f>CONCATENATE(H746,"-",J6)</f>
        <v>6000-oliva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 xml:space="preserve">1700-strieborná </v>
      </c>
      <c r="D747" s="49">
        <v>163106</v>
      </c>
      <c r="E747" s="48" t="str">
        <f>+VLOOKUP(A747,cennik!A:G,2,FALSE)</f>
        <v>SEVROLL 02849 Doubler II spodné vedenie 1,7m strieborná</v>
      </c>
      <c r="F747" s="48" t="str">
        <f>+VLOOKUP(A747,cennik!A:B,2,FALSE)</f>
        <v>SEVROLL 02849 Doubler II spodné vedenie 1,7m strieborná</v>
      </c>
      <c r="H747" s="1" t="s">
        <v>464</v>
      </c>
      <c r="I747" s="1" t="str">
        <f>CONCATENATE(H747,"-",J4)</f>
        <v xml:space="preserve">1700-strieborná 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 xml:space="preserve">2350-strieborná </v>
      </c>
      <c r="D748" s="49">
        <v>163107</v>
      </c>
      <c r="E748" s="48" t="str">
        <f>+VLOOKUP(A748,cennik!A:G,2,FALSE)</f>
        <v>SEVROLL Doubler II spodné vedenie 2,35m str.</v>
      </c>
      <c r="F748" s="48" t="str">
        <f>+VLOOKUP(A748,cennik!A:B,2,FALSE)</f>
        <v>SEVROLL Doubler II spodné vedenie 2,35m str.</v>
      </c>
      <c r="H748" s="1" t="s">
        <v>465</v>
      </c>
      <c r="I748" s="1" t="str">
        <f>CONCATENATE(H748,"-",J4)</f>
        <v xml:space="preserve">2350-strieborná 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 xml:space="preserve">3000-strieborná </v>
      </c>
      <c r="D749" s="49">
        <v>163108</v>
      </c>
      <c r="E749" s="48" t="str">
        <f>+VLOOKUP(A749,cennik!A:G,2,FALSE)</f>
        <v>SEVROLL Doubler II spodné vedenie 3m str.</v>
      </c>
      <c r="F749" s="48" t="str">
        <f>+VLOOKUP(A749,cennik!A:B,2,FALSE)</f>
        <v>SEVROLL Doubler II spodné vedenie 3m str.</v>
      </c>
      <c r="H749" s="1" t="s">
        <v>466</v>
      </c>
      <c r="I749" s="1" t="str">
        <f>CONCATENATE(H749,"-",J4)</f>
        <v xml:space="preserve">3000-strieborná 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 xml:space="preserve">4050-strieborná </v>
      </c>
      <c r="D750" s="49">
        <v>98107</v>
      </c>
      <c r="E750" s="48" t="str">
        <f>+VLOOKUP(A750,cennik!A:G,2,FALSE)</f>
        <v>SEVROLL Doubler ll spodné vedenie 4,05m strieborná</v>
      </c>
      <c r="F750" s="48" t="str">
        <f>+VLOOKUP(A750,cennik!A:B,2,FALSE)</f>
        <v>SEVROLL Doubler ll spodné vedenie 4,05m strieborná</v>
      </c>
      <c r="H750" s="1" t="s">
        <v>467</v>
      </c>
      <c r="I750" s="1" t="str">
        <f>CONCATENATE(H750,"-",J4)</f>
        <v xml:space="preserve">4050-strieborná 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 xml:space="preserve">6000-strieborná </v>
      </c>
      <c r="D751" s="49">
        <v>163110</v>
      </c>
      <c r="E751" s="48" t="str">
        <f>+VLOOKUP(A751,cennik!A:G,2,FALSE)</f>
        <v>SEVROLL 02853 Doubler II spodné vedenie 6m strieborná</v>
      </c>
      <c r="F751" s="48" t="str">
        <f>+VLOOKUP(A751,cennik!A:B,2,FALSE)</f>
        <v>SEVROLL 02853 Doubler II spodné vedenie 6m strieborná</v>
      </c>
      <c r="H751" s="144" t="s">
        <v>536</v>
      </c>
      <c r="I751" s="1" t="str">
        <f>CONCATENATE(H751,"-",J4)</f>
        <v xml:space="preserve">6000-strieborná 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1700-oliva</v>
      </c>
      <c r="D752" s="49">
        <v>163111</v>
      </c>
      <c r="E752" s="48" t="str">
        <f>+VLOOKUP(A752,cennik!A:G,2,FALSE)</f>
        <v>SEVROLL 02844 Doubler II spodné vedenie 1,7m oliva</v>
      </c>
      <c r="F752" s="48" t="str">
        <f>+VLOOKUP(A752,cennik!A:B,2,FALSE)</f>
        <v>SEVROLL 02844 Doubler II spodné vedenie 1,7m oliva</v>
      </c>
      <c r="H752" s="1" t="s">
        <v>464</v>
      </c>
      <c r="I752" s="1" t="str">
        <f>CONCATENATE(H752,"-",J6)</f>
        <v>1700-oliva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2350-oliva</v>
      </c>
      <c r="D753" s="49">
        <v>163112</v>
      </c>
      <c r="E753" s="48" t="str">
        <f>+VLOOKUP(A753,cennik!A:G,2,FALSE)</f>
        <v>SEVROLL 02845 Doubler II spodné vedenie 2,35m oliva</v>
      </c>
      <c r="F753" s="48" t="str">
        <f>+VLOOKUP(A753,cennik!A:B,2,FALSE)</f>
        <v>SEVROLL 02845 Doubler II spodné vedenie 2,35m oliva</v>
      </c>
      <c r="H753" s="1" t="s">
        <v>465</v>
      </c>
      <c r="I753" s="1" t="str">
        <f>CONCATENATE(H753,"-",J6)</f>
        <v>2350-oliva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3000-oliva</v>
      </c>
      <c r="D754" s="49">
        <v>163113</v>
      </c>
      <c r="E754" s="48" t="str">
        <f>+VLOOKUP(A754,cennik!A:G,2,FALSE)</f>
        <v>SEVROLL 02846 Doubler II spodné vedenie 3m oliva</v>
      </c>
      <c r="F754" s="48" t="str">
        <f>+VLOOKUP(A754,cennik!A:B,2,FALSE)</f>
        <v>SEVROLL 02846 Doubler II spodné vedenie 3m oliva</v>
      </c>
      <c r="H754" s="1" t="s">
        <v>466</v>
      </c>
      <c r="I754" s="1" t="str">
        <f>CONCATENATE(H754,"-",J6)</f>
        <v>3000-oliva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4050-oliva</v>
      </c>
      <c r="D755" s="49">
        <v>163114</v>
      </c>
      <c r="E755" s="48" t="str">
        <f>+VLOOKUP(A755,cennik!A:G,2,FALSE)</f>
        <v>SEVROLL 02847 Doubler II spodné vedenie 4,05m oliva</v>
      </c>
      <c r="F755" s="48" t="str">
        <f>+VLOOKUP(A755,cennik!A:B,2,FALSE)</f>
        <v>SEVROLL 02847 Doubler II spodné vedenie 4,05m oliva</v>
      </c>
      <c r="H755" s="1" t="s">
        <v>467</v>
      </c>
      <c r="I755" s="1" t="str">
        <f>CONCATENATE(H755,"-",J6)</f>
        <v>4050-oliva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6000-oliva</v>
      </c>
      <c r="D756" s="49">
        <v>163115</v>
      </c>
      <c r="E756" s="48" t="str">
        <f>+VLOOKUP(A756,cennik!A:G,2,FALSE)</f>
        <v>SEVROLL 02848 Doubler II spodné vedenie 6m oliva</v>
      </c>
      <c r="F756" s="48" t="str">
        <f>+VLOOKUP(A756,cennik!A:B,2,FALSE)</f>
        <v>SEVROLL 02848 Doubler II spodné vedenie 6m oliva</v>
      </c>
      <c r="H756" s="144" t="s">
        <v>536</v>
      </c>
      <c r="I756" s="1" t="str">
        <f>CONCATENATE(H756,"-",J6)</f>
        <v>6000-oliva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 xml:space="preserve">1700-strieborná </v>
      </c>
      <c r="D757" s="49">
        <v>163122</v>
      </c>
      <c r="E757" s="48" t="str">
        <f>+VLOOKUP(A757,cennik!A:G,2,FALSE)</f>
        <v>SEVROLL 02864 Doubler II maska 1,7m strieborná</v>
      </c>
      <c r="F757" s="48" t="str">
        <f>+VLOOKUP(A757,cennik!A:B,2,FALSE)</f>
        <v>SEVROLL 02864 Doubler II maska 1,7m strieborná</v>
      </c>
      <c r="H757" s="1" t="s">
        <v>464</v>
      </c>
      <c r="I757" s="1" t="str">
        <f>CONCATENATE(H757,"-",J4)</f>
        <v xml:space="preserve">1700-strieborná 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 xml:space="preserve">2350-strieborná </v>
      </c>
      <c r="D758" s="49">
        <v>163123</v>
      </c>
      <c r="E758" s="48" t="str">
        <f>+VLOOKUP(A758,cennik!A:G,2,FALSE)</f>
        <v>SEVROLL Doubler II maska 2,35m stieborná</v>
      </c>
      <c r="F758" s="48" t="str">
        <f>+VLOOKUP(A758,cennik!A:B,2,FALSE)</f>
        <v>SEVROLL Doubler II maska 2,35m stieborná</v>
      </c>
      <c r="H758" s="1" t="s">
        <v>465</v>
      </c>
      <c r="I758" s="1" t="str">
        <f>CONCATENATE(H758,"-",J4)</f>
        <v xml:space="preserve">2350-strieborná 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 xml:space="preserve">3000-strieborná </v>
      </c>
      <c r="D759" s="49">
        <v>163125</v>
      </c>
      <c r="E759" s="48" t="str">
        <f>+VLOOKUP(A759,cennik!A:G,2,FALSE)</f>
        <v>SEVROLL 163125 Doubler II maska 3m strieborná</v>
      </c>
      <c r="F759" s="48" t="str">
        <f>+VLOOKUP(A759,cennik!A:B,2,FALSE)</f>
        <v>SEVROLL 163125 Doubler II maska 3m strieborná</v>
      </c>
      <c r="H759" s="1" t="s">
        <v>466</v>
      </c>
      <c r="I759" s="1" t="str">
        <f>CONCATENATE(H759,"-",J4)</f>
        <v xml:space="preserve">3000-strieborná 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 xml:space="preserve">4050-strieborná </v>
      </c>
      <c r="D760" s="49">
        <v>162670</v>
      </c>
      <c r="E760" s="48" t="str">
        <f>+VLOOKUP(A760,cennik!A:G,2,FALSE)</f>
        <v>SEVROLL MASKA DOUBLER II 4,05 M striebor</v>
      </c>
      <c r="F760" s="48" t="str">
        <f>+VLOOKUP(A760,cennik!A:B,2,FALSE)</f>
        <v>SEVROLL MASKA DOUBLER II 4,05 M striebor</v>
      </c>
      <c r="H760" s="1" t="s">
        <v>467</v>
      </c>
      <c r="I760" s="1" t="str">
        <f>CONCATENATE(H760,"-",J4)</f>
        <v xml:space="preserve">4050-strieborná 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 xml:space="preserve">6000-strieborná </v>
      </c>
      <c r="D761" s="49">
        <v>163128</v>
      </c>
      <c r="E761" s="48" t="str">
        <f>+VLOOKUP(A761,cennik!A:G,2,FALSE)</f>
        <v>SEVROLL 02868 Doubler II maska 6m strieborná</v>
      </c>
      <c r="F761" s="48" t="str">
        <f>+VLOOKUP(A761,cennik!A:B,2,FALSE)</f>
        <v>SEVROLL 02868 Doubler II maska 6m strieborná</v>
      </c>
      <c r="H761" s="144" t="s">
        <v>536</v>
      </c>
      <c r="I761" s="1" t="str">
        <f>CONCATENATE(H761,"-",J4)</f>
        <v xml:space="preserve">6000-strieborná 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1700-oliva</v>
      </c>
      <c r="D762" s="49">
        <v>163129</v>
      </c>
      <c r="E762" s="48" t="str">
        <f>+VLOOKUP(A762,cennik!A:G,2,FALSE)</f>
        <v>SEVROLL 02859 Doubler II maska 1,7m oliva</v>
      </c>
      <c r="F762" s="48" t="str">
        <f>+VLOOKUP(A762,cennik!A:B,2,FALSE)</f>
        <v>SEVROLL 02859 Doubler II maska 1,7m oliva</v>
      </c>
      <c r="H762" s="1" t="s">
        <v>464</v>
      </c>
      <c r="I762" s="1" t="str">
        <f>CONCATENATE(H762,"-",J6)</f>
        <v>1700-oliva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2350-oliva</v>
      </c>
      <c r="D763" s="49">
        <v>163131</v>
      </c>
      <c r="E763" s="48" t="str">
        <f>+VLOOKUP(A763,cennik!A:G,2,FALSE)</f>
        <v>SEVROLL 02860 Doubler II maska 2,35m oliva</v>
      </c>
      <c r="F763" s="48" t="str">
        <f>+VLOOKUP(A763,cennik!A:B,2,FALSE)</f>
        <v>SEVROLL 02860 Doubler II maska 2,35m oliva</v>
      </c>
      <c r="H763" s="1" t="s">
        <v>465</v>
      </c>
      <c r="I763" s="1" t="str">
        <f>CONCATENATE(H763,"-",J6)</f>
        <v>2350-oliva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3000-oliva</v>
      </c>
      <c r="D764" s="49">
        <v>163132</v>
      </c>
      <c r="E764" s="48" t="str">
        <f>+VLOOKUP(A764,cennik!A:G,2,FALSE)</f>
        <v>SEVROLL 02861 Doubler II maska 3m oliva</v>
      </c>
      <c r="F764" s="48" t="str">
        <f>+VLOOKUP(A764,cennik!A:B,2,FALSE)</f>
        <v>SEVROLL 02861 Doubler II maska 3m oliva</v>
      </c>
      <c r="H764" s="1" t="s">
        <v>466</v>
      </c>
      <c r="I764" s="1" t="str">
        <f>CONCATENATE(H764,"-",J6)</f>
        <v>3000-oliva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4050-oliva</v>
      </c>
      <c r="D765" s="49">
        <v>163133</v>
      </c>
      <c r="E765" s="48" t="str">
        <f>+VLOOKUP(A765,cennik!A:G,2,FALSE)</f>
        <v>SEVROLL 02862 Doubler II maska 4,05m oliva</v>
      </c>
      <c r="F765" s="48" t="str">
        <f>+VLOOKUP(A765,cennik!A:B,2,FALSE)</f>
        <v>SEVROLL 02862 Doubler II maska 4,05m oliva</v>
      </c>
      <c r="H765" s="1" t="s">
        <v>467</v>
      </c>
      <c r="I765" s="1" t="str">
        <f>CONCATENATE(H765,"-",J6)</f>
        <v>4050-oliva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6000-oliva</v>
      </c>
      <c r="D766" s="49">
        <v>163134</v>
      </c>
      <c r="E766" s="48" t="str">
        <f>+VLOOKUP(A766,cennik!A:G,2,FALSE)</f>
        <v>SEVROLL 02863 Doubler II maska 6m oliva</v>
      </c>
      <c r="F766" s="48" t="str">
        <f>+VLOOKUP(A766,cennik!A:B,2,FALSE)</f>
        <v>SEVROLL 02863 Doubler II maska 6m oliva</v>
      </c>
      <c r="H766" s="144" t="s">
        <v>536</v>
      </c>
      <c r="I766" s="1" t="str">
        <f>CONCATENATE(H766,"-",J6)</f>
        <v>6000-oliva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 xml:space="preserve">1700-strieborná </v>
      </c>
      <c r="D767" s="49">
        <v>89106</v>
      </c>
      <c r="E767" s="48" t="str">
        <f>+VLOOKUP(A767,cennik!A:G,2,FALSE)</f>
        <v>SEVROLL 01023 Gemini horné vedenie 1,7m strieborná</v>
      </c>
      <c r="F767" s="48" t="str">
        <f>+VLOOKUP(A767,cennik!A:B,2,FALSE)</f>
        <v>SEVROLL 01023 Gemini horné vedenie 1,7m strieborná</v>
      </c>
      <c r="H767" s="1">
        <v>1700</v>
      </c>
      <c r="I767" s="1" t="str">
        <f>CONCATENATE(H767,"-",J4)</f>
        <v xml:space="preserve">1700-strieborná 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 xml:space="preserve">2350-strieborná </v>
      </c>
      <c r="D768" s="49">
        <v>89109</v>
      </c>
      <c r="E768" s="48" t="str">
        <f>+VLOOKUP(A768,cennik!A:G,2,FALSE)</f>
        <v>SEVROLL 01025 Gemini horné vedenie 2,35m strieborná</v>
      </c>
      <c r="F768" s="48" t="str">
        <f>+VLOOKUP(A768,cennik!A:B,2,FALSE)</f>
        <v>SEVROLL 01025 Gemini horné vedenie 2,35m strieborná</v>
      </c>
      <c r="H768" s="1">
        <v>2350</v>
      </c>
      <c r="I768" s="1" t="str">
        <f>CONCATENATE(H768,"-",J4)</f>
        <v xml:space="preserve">2350-strieborná 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 xml:space="preserve">3000-strieborná </v>
      </c>
      <c r="D769" s="49">
        <v>89112</v>
      </c>
      <c r="E769" s="48" t="str">
        <f>+VLOOKUP(A769,cennik!A:G,2,FALSE)</f>
        <v>SEVROLL 01462 Gemini horné vedenie 3m strieborná</v>
      </c>
      <c r="F769" s="48" t="str">
        <f>+VLOOKUP(A769,cennik!A:B,2,FALSE)</f>
        <v>SEVROLL 01462 Gemini horné vedenie 3m strieborná</v>
      </c>
      <c r="H769" s="1">
        <v>3000</v>
      </c>
      <c r="I769" s="1" t="str">
        <f>CONCATENATE(H769,"-",J4)</f>
        <v xml:space="preserve">3000-strieborná 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 xml:space="preserve">4050-strieborná </v>
      </c>
      <c r="D770" s="49">
        <v>89115</v>
      </c>
      <c r="E770" s="48" t="str">
        <f>+VLOOKUP(A770,cennik!A:G,2,FALSE)</f>
        <v>SEVROLL 01469 Gemini horné vedenie 4,05m strieborná</v>
      </c>
      <c r="F770" s="48" t="str">
        <f>+VLOOKUP(A770,cennik!A:B,2,FALSE)</f>
        <v>SEVROLL 01469 Gemini horné vedenie 4,05m strieborná</v>
      </c>
      <c r="H770" s="1">
        <v>4050</v>
      </c>
      <c r="I770" s="1" t="str">
        <f>CONCATENATE(H770,"-",J4)</f>
        <v xml:space="preserve">4050-strieborná 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 xml:space="preserve">6000-strieborná </v>
      </c>
      <c r="D771" s="49">
        <v>134933</v>
      </c>
      <c r="E771" s="48" t="str">
        <f>+VLOOKUP(A771,cennik!A:G,2,FALSE)</f>
        <v>SEVROLL 01391 Gemini horné vedenie 6m strieborná</v>
      </c>
      <c r="F771" s="48" t="str">
        <f>+VLOOKUP(A771,cennik!A:B,2,FALSE)</f>
        <v>SEVROLL 01391 Gemini horné vedenie 6m strieborná</v>
      </c>
      <c r="H771" s="164">
        <v>6000</v>
      </c>
      <c r="I771" s="1" t="str">
        <f>CONCATENATE(H771,"-",J4)</f>
        <v xml:space="preserve">6000-strieborná 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 xml:space="preserve">1700-strieborná </v>
      </c>
      <c r="D772" s="49">
        <v>84385</v>
      </c>
      <c r="E772" s="48" t="str">
        <f>+VLOOKUP(A772,cennik!A:G,2,FALSE)</f>
        <v>SEVROLL 04279 Elegant II spodné vedenie  1,7m strieborná</v>
      </c>
      <c r="F772" s="48" t="str">
        <f>+VLOOKUP(A772,cennik!A:B,2,FALSE)</f>
        <v>SEVROLL 04279 Elegant II spodné vedenie  1,7m strieborná</v>
      </c>
      <c r="H772" s="1">
        <v>1700</v>
      </c>
      <c r="I772" s="1" t="str">
        <f>CONCATENATE(H772,"-",J4)</f>
        <v xml:space="preserve">1700-strieborná 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 xml:space="preserve">2350-strieborná </v>
      </c>
      <c r="D773" s="49">
        <v>84388</v>
      </c>
      <c r="E773" s="48" t="str">
        <f>+VLOOKUP(A773,cennik!A:G,2,FALSE)</f>
        <v>SEVROLL 04280 Elegant II spodné vedenie  2,35m strieborná</v>
      </c>
      <c r="F773" s="48" t="str">
        <f>+VLOOKUP(A773,cennik!A:B,2,FALSE)</f>
        <v>SEVROLL 04280 Elegant II spodné vedenie  2,35m strieborná</v>
      </c>
      <c r="H773" s="1">
        <v>2350</v>
      </c>
      <c r="I773" s="1" t="str">
        <f>CONCATENATE(H773,"-",J4)</f>
        <v xml:space="preserve">2350-strieborná 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 xml:space="preserve">3000-strieborná </v>
      </c>
      <c r="D774" s="49">
        <v>84391</v>
      </c>
      <c r="E774" s="48" t="str">
        <f>+VLOOKUP(A774,cennik!A:G,2,FALSE)</f>
        <v>SEVROLL 04281 Elegant II spodné vedenie  3m strieborná</v>
      </c>
      <c r="F774" s="48" t="str">
        <f>+VLOOKUP(A774,cennik!A:B,2,FALSE)</f>
        <v>SEVROLL 04281 Elegant II spodné vedenie  3m strieborná</v>
      </c>
      <c r="H774" s="1">
        <v>3000</v>
      </c>
      <c r="I774" s="1" t="str">
        <f>CONCATENATE(H774,"-",J4)</f>
        <v xml:space="preserve">3000-strieborná 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 xml:space="preserve">4050-strieborná </v>
      </c>
      <c r="D775" s="49">
        <v>84394</v>
      </c>
      <c r="E775" s="48" t="str">
        <f>+VLOOKUP(A775,cennik!A:G,2,FALSE)</f>
        <v>SEVROLL 04282 Elegant II spodné vedenie  4,05m strieborná</v>
      </c>
      <c r="F775" s="48" t="str">
        <f>+VLOOKUP(A775,cennik!A:B,2,FALSE)</f>
        <v>SEVROLL 04282 Elegant II spodné vedenie  4,05m strieborná</v>
      </c>
      <c r="H775" s="1">
        <v>4050</v>
      </c>
      <c r="I775" s="1" t="str">
        <f>CONCATENATE(H775,"-",J4)</f>
        <v xml:space="preserve">4050-strieborná 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 xml:space="preserve">6000-strieborná </v>
      </c>
      <c r="D776" s="49">
        <v>350687</v>
      </c>
      <c r="E776" s="48" t="str">
        <f>+VLOOKUP(A776,cennik!A:G,2,FALSE)</f>
        <v>SEVROLL 04284 Elegant II spodné vedenie 6m strieborná</v>
      </c>
      <c r="F776" s="48" t="str">
        <f>+VLOOKUP(A776,cennik!A:B,2,FALSE)</f>
        <v>SEVROLL 04284 Elegant II spodné vedenie 6m strieborná</v>
      </c>
      <c r="H776" s="164">
        <v>6000</v>
      </c>
      <c r="I776" s="1" t="str">
        <f>CONCATENATE(H776,"-",J4)</f>
        <v xml:space="preserve">6000-strieborná 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 xml:space="preserve">1700-strieborná </v>
      </c>
      <c r="D777" s="49">
        <v>496366</v>
      </c>
      <c r="E777" s="48" t="str">
        <f>+VLOOKUP(A777,cennik!A:G,2,FALSE)</f>
        <v>SEVROLL 05792 GM 18 vodiaca lišta 1,7m strieborná</v>
      </c>
      <c r="F777" s="48" t="str">
        <f>+VLOOKUP(A777,cennik!A:B,2,FALSE)</f>
        <v>SEVROLL 05792 GM 18 vodiaca lišta 1,7m strieborná</v>
      </c>
      <c r="H777" s="1">
        <v>1700</v>
      </c>
      <c r="I777" s="1" t="str">
        <f>CONCATENATE(H777,"-",J4)</f>
        <v xml:space="preserve">1700-strieborná 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 xml:space="preserve">2350-strieborná </v>
      </c>
      <c r="D778" s="49">
        <v>496367</v>
      </c>
      <c r="E778" s="48" t="str">
        <f>+VLOOKUP(A778,cennik!A:G,2,FALSE)</f>
        <v>SEVROLL 05793 GM 18 vod. Lišta 2,35m strieborná</v>
      </c>
      <c r="F778" s="48" t="str">
        <f>+VLOOKUP(A778,cennik!A:B,2,FALSE)</f>
        <v>SEVROLL 05793 GM 18 vod. Lišta 2,35m strieborná</v>
      </c>
      <c r="H778" s="1">
        <v>2350</v>
      </c>
      <c r="I778" s="1" t="str">
        <f>CONCATENATE(H778,"-",J4)</f>
        <v xml:space="preserve">2350-strieborná 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1700-oliva</v>
      </c>
      <c r="D779" s="49">
        <v>496970</v>
      </c>
      <c r="E779" s="48" t="str">
        <f>+VLOOKUP(A779,cennik!A:G,2,FALSE)</f>
        <v>SEVROLL 05795 GM 18 vodiaca lišta 1,7m oliva</v>
      </c>
      <c r="F779" s="48" t="str">
        <f>+VLOOKUP(A779,cennik!A:B,2,FALSE)</f>
        <v>SEVROLL 05795 GM 18 vodiaca lišta 1,7m oliva</v>
      </c>
      <c r="H779" s="1">
        <v>1700</v>
      </c>
      <c r="I779" s="1" t="str">
        <f>CONCATENATE(H779,"-",J6)</f>
        <v>1700-oliva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2350-oliva</v>
      </c>
      <c r="D780" s="49">
        <v>496971</v>
      </c>
      <c r="E780" s="48" t="str">
        <f>+VLOOKUP(A780,cennik!A:G,2,FALSE)</f>
        <v>SEVROLL 05796 GM 18 vodiaca lišta 2,35m oliva</v>
      </c>
      <c r="F780" s="48" t="str">
        <f>+VLOOKUP(A780,cennik!A:B,2,FALSE)</f>
        <v>SEVROLL 05796 GM 18 vodiaca lišta 2,35m oliva</v>
      </c>
      <c r="H780" s="1">
        <v>2350</v>
      </c>
      <c r="I780" s="1" t="str">
        <f>CONCATENATE(H780,"-",J6)</f>
        <v>2350-oliva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3000-oliva</v>
      </c>
      <c r="D781" s="49">
        <v>496972</v>
      </c>
      <c r="E781" s="48" t="str">
        <f>+VLOOKUP(A781,cennik!A:G,2,FALSE)</f>
        <v>SEVROLL 05797 GM 18 vodiaca lišta 3m oliva</v>
      </c>
      <c r="F781" s="48" t="str">
        <f>+VLOOKUP(A781,cennik!A:B,2,FALSE)</f>
        <v>SEVROLL 05797 GM 18 vodiaca lišta 3m oliva</v>
      </c>
      <c r="H781" s="1">
        <v>3000</v>
      </c>
      <c r="I781" s="1" t="str">
        <f>CONCATENATE(H781,"-",J6)</f>
        <v>3000-oliva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1700-čierna mat</v>
      </c>
      <c r="D782" s="49">
        <v>496974</v>
      </c>
      <c r="E782" s="48" t="str">
        <f>+VLOOKUP(A782,cennik!A:G,2,FALSE)</f>
        <v>SEVROLL 05918 GM 18 vodiaca lišta 1,7m čierna mat</v>
      </c>
      <c r="F782" s="48" t="str">
        <f>+VLOOKUP(A782,cennik!A:B,2,FALSE)</f>
        <v>SEVROLL 05918 GM 18 vodiaca lišta 1,7m čierna mat</v>
      </c>
      <c r="H782" s="1">
        <v>1700</v>
      </c>
      <c r="I782" s="1" t="str">
        <f>CONCATENATE(H782,"-",J17)</f>
        <v>1700-čierna mat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2350-čierna mat</v>
      </c>
      <c r="D783" s="49">
        <v>496977</v>
      </c>
      <c r="E783" s="48" t="str">
        <f>+VLOOKUP(A783,cennik!A:G,2,FALSE)</f>
        <v>SEVROLL 05919 GM 18 vodiaca lišta 2,35m čierna mat</v>
      </c>
      <c r="F783" s="48" t="str">
        <f>+VLOOKUP(A783,cennik!A:B,2,FALSE)</f>
        <v>SEVROLL 05919 GM 18 vodiaca lišta 2,35m čierna mat</v>
      </c>
      <c r="H783" s="1">
        <v>2350</v>
      </c>
      <c r="I783" s="1" t="str">
        <f>CONCATENATE(H783,"-",J17)</f>
        <v>2350-čierna mat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3000-čierna mat</v>
      </c>
      <c r="D784" s="49">
        <v>496979</v>
      </c>
      <c r="E784" s="48" t="str">
        <f>+VLOOKUP(A784,cennik!A:G,2,FALSE)</f>
        <v>SEVROLL 05920 GM 18 vodiaca lišta 3m čierna mat</v>
      </c>
      <c r="F784" s="48" t="str">
        <f>+VLOOKUP(A784,cennik!A:B,2,FALSE)</f>
        <v>SEVROLL 05920 GM 18 vodiaca lišta 3m čierna mat</v>
      </c>
      <c r="H784" s="1">
        <v>3000</v>
      </c>
      <c r="I784" s="1" t="str">
        <f>CONCATENATE(H784,"-",J17)</f>
        <v>3000-čierna mat</v>
      </c>
    </row>
    <row r="785" spans="1:26" ht="15" customHeight="1" x14ac:dyDescent="0.3">
      <c r="A785" s="49">
        <v>496368</v>
      </c>
      <c r="B785" s="48"/>
      <c r="C785" s="1" t="str">
        <f>CONCATENATE(H785,"-",J4)</f>
        <v xml:space="preserve">3000-strieborná </v>
      </c>
      <c r="D785" s="49">
        <v>496368</v>
      </c>
      <c r="E785" s="48" t="str">
        <f>+VLOOKUP(A785,cennik!A:G,2,FALSE)</f>
        <v>SEVROLL 05794 GM 18 VOD.LIŠTA 3 M STRIEBORNA</v>
      </c>
      <c r="F785" s="48" t="str">
        <f>+VLOOKUP(A785,cennik!A:B,2,FALSE)</f>
        <v>SEVROLL 05794 GM 18 VOD.LIŠTA 3 M STRIEBORNA</v>
      </c>
      <c r="H785" s="1">
        <v>3000</v>
      </c>
      <c r="I785" s="1" t="str">
        <f>CONCATENATE(H785,"-",J4)</f>
        <v xml:space="preserve">3000-strieborná 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 xml:space="preserve">4300-strieborná 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 xml:space="preserve">4300-strieborná 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 xml:space="preserve">6000-strieborná 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 xml:space="preserve">6000-strieborná 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 xml:space="preserve">1700-strieborná </v>
      </c>
      <c r="D788" s="49">
        <v>318657</v>
      </c>
      <c r="E788" s="48" t="str">
        <f>+VLOOKUP(A788,cennik!A:G,2,FALSE)</f>
        <v>SEVROLL 04302 maska Elegant II 1,7m strieborná</v>
      </c>
      <c r="F788" s="48" t="str">
        <f>+VLOOKUP(A788,cennik!A:B,2,FALSE)</f>
        <v>SEVROLL 04302 maska Elegant II 1,7m strieborná</v>
      </c>
      <c r="H788" s="1">
        <v>1700</v>
      </c>
      <c r="I788" s="1" t="str">
        <f>CONCATENATE(H788,"-",J4)</f>
        <v xml:space="preserve">1700-strieborná 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 xml:space="preserve">2350-strieborná </v>
      </c>
      <c r="D789" s="49">
        <v>318660</v>
      </c>
      <c r="E789" s="48" t="str">
        <f>+VLOOKUP(A789,cennik!A:G,2,FALSE)</f>
        <v>SEVROLL 04303 maska Elegant II 2,35m strieborná</v>
      </c>
      <c r="F789" s="48" t="str">
        <f>+VLOOKUP(A789,cennik!A:B,2,FALSE)</f>
        <v>SEVROLL 04303 maska Elegant II 2,35m strieborná</v>
      </c>
      <c r="H789" s="1">
        <v>2350</v>
      </c>
      <c r="I789" s="1" t="str">
        <f>CONCATENATE(H789,"-",J4)</f>
        <v xml:space="preserve">2350-strieborná 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 xml:space="preserve">3000-strieborná </v>
      </c>
      <c r="D790" s="49">
        <v>345408</v>
      </c>
      <c r="E790" s="48" t="str">
        <f>+VLOOKUP(A790,cennik!A:G,2,FALSE)</f>
        <v>SEVROLL 04304 maska Elegant II 3m strieborná</v>
      </c>
      <c r="F790" s="48" t="str">
        <f>+VLOOKUP(A790,cennik!A:B,2,FALSE)</f>
        <v>SEVROLL 04304 maska Elegant II 3m strieborná</v>
      </c>
      <c r="H790" s="1">
        <v>3000</v>
      </c>
      <c r="I790" s="1" t="str">
        <f>CONCATENATE(H790,"-",J4)</f>
        <v xml:space="preserve">3000-strieborná 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 xml:space="preserve">4050-strieborná </v>
      </c>
      <c r="D791" s="49">
        <v>345776</v>
      </c>
      <c r="E791" s="48" t="str">
        <f>+VLOOKUP(A791,cennik!A:G,2,FALSE)</f>
        <v>SEVROLL 04305 maska Elegant II 4,05m strieborná</v>
      </c>
      <c r="F791" s="48" t="str">
        <f>+VLOOKUP(A791,cennik!A:B,2,FALSE)</f>
        <v>SEVROLL 04305 maska Elegant II 4,05m strieborná</v>
      </c>
      <c r="H791" s="1">
        <v>4050</v>
      </c>
      <c r="I791" s="1" t="str">
        <f>CONCATENATE(H791,"-",J4)</f>
        <v xml:space="preserve">4050-strieborná 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 xml:space="preserve">6000-strieborná </v>
      </c>
      <c r="D792" s="49">
        <v>346118</v>
      </c>
      <c r="E792" s="48" t="str">
        <f>+VLOOKUP(A792,cennik!A:G,2,FALSE)</f>
        <v>SEVROLL 04307 maska Elegant II 6m strieborná</v>
      </c>
      <c r="F792" s="48" t="str">
        <f>+VLOOKUP(A792,cennik!A:B,2,FALSE)</f>
        <v>SEVROLL 04307 maska Elegant II 6m strieborná</v>
      </c>
      <c r="H792" s="165">
        <v>6000</v>
      </c>
      <c r="I792" s="1" t="str">
        <f>CONCATENATE(H792,"-",J4)</f>
        <v xml:space="preserve">6000-strieborná 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 xml:space="preserve">1700-strieborná </v>
      </c>
      <c r="D793" s="49">
        <v>496369</v>
      </c>
      <c r="E793" s="48" t="str">
        <f>+VLOOKUP(A793,cennik!A:G,2,FALSE)</f>
        <v>SEVROLL 05798 GM 18 spodná krycia lišta 1,7m 18mm strieborná</v>
      </c>
      <c r="F793" s="48" t="str">
        <f>+VLOOKUP(A793,cennik!A:B,2,FALSE)</f>
        <v>SEVROLL 05798 GM 18 spodná krycia lišta 1,7m 18mm strieborná</v>
      </c>
      <c r="H793" s="1">
        <v>1700</v>
      </c>
      <c r="I793" s="1" t="str">
        <f>CONCATENATE(H793,"-",J4)</f>
        <v xml:space="preserve">1700-strieborná 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 xml:space="preserve">2350-strieborná </v>
      </c>
      <c r="D794" s="49">
        <v>496370</v>
      </c>
      <c r="E794" s="48" t="str">
        <f>+VLOOKUP(A794,cennik!A:G,2,FALSE)</f>
        <v>SEVROLL 05799 GM 18 spod.krycia lišta 2,35m 18mm strieborná</v>
      </c>
      <c r="F794" s="48" t="str">
        <f>+VLOOKUP(A794,cennik!A:B,2,FALSE)</f>
        <v>SEVROLL 05799 GM 18 spod.krycia lišta 2,35m 18mm strieborná</v>
      </c>
      <c r="H794" s="1">
        <v>2350</v>
      </c>
      <c r="I794" s="1" t="str">
        <f>CONCATENATE(H794,"-",J4)</f>
        <v xml:space="preserve">2350-strieborná 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1700-oliva</v>
      </c>
      <c r="D795" s="49">
        <v>496946</v>
      </c>
      <c r="E795" s="48" t="str">
        <f>+VLOOKUP(A795,cennik!A:G,2,FALSE)</f>
        <v>SEVROLL 05801 GM 18 spodná krycia lišta 1,7m 18mm oliva</v>
      </c>
      <c r="F795" s="48" t="str">
        <f>+VLOOKUP(A795,cennik!A:B,2,FALSE)</f>
        <v>SEVROLL 05801 GM 18 spodná krycia lišta 1,7m 18mm oliva</v>
      </c>
      <c r="H795" s="1">
        <v>1700</v>
      </c>
      <c r="I795" s="1" t="str">
        <f>CONCATENATE(H795,"-",J6)</f>
        <v>1700-oliva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2350-oliva</v>
      </c>
      <c r="D796" s="49">
        <v>496947</v>
      </c>
      <c r="E796" s="48" t="str">
        <f>+VLOOKUP(A796,cennik!A:G,2,FALSE)</f>
        <v>SEVROLL 05913 GM 18 spodná krycí lišta 2,35m 18mm</v>
      </c>
      <c r="F796" s="48" t="str">
        <f>+VLOOKUP(A796,cennik!A:B,2,FALSE)</f>
        <v>SEVROLL 05913 GM 18 spodná krycí lišta 2,35m 18mm</v>
      </c>
      <c r="H796" s="1">
        <v>2350</v>
      </c>
      <c r="I796" s="1" t="str">
        <f>CONCATENATE(H796,"-",J6)</f>
        <v>2350-oliva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3000-oliva</v>
      </c>
      <c r="D797" s="49">
        <v>496951</v>
      </c>
      <c r="E797" s="48" t="str">
        <f>+VLOOKUP(A797,cennik!A:G,2,FALSE)</f>
        <v>SEVROLL 05803 GM 18 spodná krycia lišta 3m 18mm oliva</v>
      </c>
      <c r="F797" s="48" t="str">
        <f>+VLOOKUP(A797,cennik!A:B,2,FALSE)</f>
        <v>SEVROLL 05803 GM 18 spodná krycia lišta 3m 18mm oliva</v>
      </c>
      <c r="H797" s="1">
        <v>3000</v>
      </c>
      <c r="I797" s="1" t="str">
        <f>CONCATENATE(H797,"-",J6)</f>
        <v>3000-oliva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1700-čierna mat</v>
      </c>
      <c r="D798" s="49">
        <v>496952</v>
      </c>
      <c r="E798" s="48" t="str">
        <f>+VLOOKUP(A798,cennik!A:G,2,FALSE)</f>
        <v>SEVROLL 05912 GM 18 spodná krycia lišta 1,7m 18mm čierna mat</v>
      </c>
      <c r="F798" s="48" t="str">
        <f>+VLOOKUP(A798,cennik!A:B,2,FALSE)</f>
        <v>SEVROLL 05912 GM 18 spodná krycia lišta 1,7m 18mm čierna mat</v>
      </c>
      <c r="H798" s="1">
        <v>1700</v>
      </c>
      <c r="I798" s="1" t="str">
        <f>CONCATENATE(H798,"-",J17)</f>
        <v>1700-čierna mat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2350-čierna mat</v>
      </c>
      <c r="D799" s="49">
        <v>496955</v>
      </c>
      <c r="E799" s="48" t="str">
        <f>+VLOOKUP(A799,cennik!A:G,2,FALSE)</f>
        <v>SEVROLL 05913 GM 18 spodná krycí lišta 2,35m 18mm čierna mat</v>
      </c>
      <c r="F799" s="48" t="str">
        <f>+VLOOKUP(A799,cennik!A:B,2,FALSE)</f>
        <v>SEVROLL 05913 GM 18 spodná krycí lišta 2,35m 18mm čierna mat</v>
      </c>
      <c r="H799" s="1">
        <v>2350</v>
      </c>
      <c r="I799" s="1" t="str">
        <f>CONCATENATE(H799,"-",J17)</f>
        <v>2350-čierna mat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3000-čierna mat</v>
      </c>
      <c r="D800" s="49">
        <v>496957</v>
      </c>
      <c r="E800" s="48" t="str">
        <f>+VLOOKUP(A800,cennik!A:G,2,FALSE)</f>
        <v>SEVROLL 05803 GM 18 spodná krycia lišta 3m 18mm čierna mat</v>
      </c>
      <c r="F800" s="48" t="str">
        <f>+VLOOKUP(A800,cennik!A:B,2,FALSE)</f>
        <v>SEVROLL 05803 GM 18 spodná krycia lišta 3m 18mm čierna mat</v>
      </c>
      <c r="H800" s="1">
        <v>3000</v>
      </c>
      <c r="I800" s="1" t="str">
        <f>CONCATENATE(H800,"-",J17)</f>
        <v>3000-čierna mat</v>
      </c>
    </row>
    <row r="801" spans="1:26" ht="15" customHeight="1" x14ac:dyDescent="0.3">
      <c r="A801" s="49">
        <v>496371</v>
      </c>
      <c r="B801" s="48"/>
      <c r="C801" s="1" t="str">
        <f>CONCATENATE(H801,"-",J4)</f>
        <v xml:space="preserve">3000-strieborná </v>
      </c>
      <c r="D801" s="49">
        <v>496371</v>
      </c>
      <c r="E801" s="48" t="str">
        <f>+VLOOKUP(A801,cennik!A:G,2,FALSE)</f>
        <v>SEVROLL 05800 GM 18 spod.krycia lišta 3m 18mm strieborná</v>
      </c>
      <c r="F801" s="48" t="str">
        <f>+VLOOKUP(A801,cennik!A:B,2,FALSE)</f>
        <v>SEVROLL 05800 GM 18 spod.krycia lišta 3m 18mm strieborná</v>
      </c>
      <c r="H801" s="1">
        <v>3000</v>
      </c>
      <c r="I801" s="1" t="str">
        <f>CONCATENATE(H801,"-",J4)</f>
        <v xml:space="preserve">3000-strieborná 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 xml:space="preserve">4300-strieborná 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 xml:space="preserve">4300-strieborná 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 xml:space="preserve">6000-strieborná 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 xml:space="preserve">6000-strieborná 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horný vozík 18mm - 2ks</v>
      </c>
      <c r="F804" s="48" t="str">
        <f>+VLOOKUP(A804,cennik!A:B,2,FALSE)</f>
        <v>SEVROLL 05691 GM 18 horný vozík 18mm - 2ks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 xml:space="preserve">strieborná </v>
      </c>
      <c r="D805" s="49">
        <v>489292</v>
      </c>
      <c r="E805" s="48" t="str">
        <f>+VLOOKUP(A805,cennik!A:G,2,FALSE)</f>
        <v>SEVROLL 05788 Arte GM 18 úch.lišta 2,7m strieborná</v>
      </c>
      <c r="F805" s="48" t="str">
        <f>+VLOOKUP(A805,cennik!A:B,2,FALSE)</f>
        <v>SEVROLL 05788 Arte GM 18 úch.lišta 2,7m strieborná</v>
      </c>
      <c r="H805" s="165"/>
      <c r="I805" s="1" t="str">
        <f>J4</f>
        <v xml:space="preserve">strieborná 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 xml:space="preserve">strieborná </v>
      </c>
      <c r="D806" s="49">
        <v>143983</v>
      </c>
      <c r="E806" s="48" t="str">
        <f>+VLOOKUP(A806,cennik!A:G,2,FALSE)</f>
        <v>SEVROLL ERGO 18 UCH.LIŠTA.2,70m STR.</v>
      </c>
      <c r="F806" s="48" t="str">
        <f>+VLOOKUP(A806,cennik!A:B,2,FALSE)</f>
        <v>SEVROLL ERGO 18 UCH.LIŠTA.2,70m STR.</v>
      </c>
      <c r="I806" s="1" t="str">
        <f>J4</f>
        <v xml:space="preserve">strieborná 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oliva</v>
      </c>
      <c r="D807" s="49">
        <v>143984</v>
      </c>
      <c r="E807" s="48" t="str">
        <f>+VLOOKUP(A807,cennik!A:G,2,FALSE)</f>
        <v>SEVROLL ERGO UCH.LIŠTA.2,70m OLIVOVÁ</v>
      </c>
      <c r="F807" s="48" t="str">
        <f>+VLOOKUP(A807,cennik!A:B,2,FALSE)</f>
        <v>SEVROLL ERGO UCH.LIŠTA.2,70m OLIVOVÁ</v>
      </c>
      <c r="I807" s="1" t="str">
        <f>J6</f>
        <v>oliva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 xml:space="preserve">strieborná </v>
      </c>
      <c r="D808" s="49">
        <v>179196</v>
      </c>
      <c r="E808" s="48" t="str">
        <f>+VLOOKUP(A808,cennik!A:G,2,FALSE)</f>
        <v>SEVROLL 04552 Faworyt II úchytová lišta 2,7m strieborná</v>
      </c>
      <c r="F808" s="48" t="str">
        <f>+VLOOKUP(A808,cennik!A:B,2,FALSE)</f>
        <v>SEVROLL 04552 Faworyt II úchytová lišta 2,7m strieborná</v>
      </c>
      <c r="I808" s="1" t="str">
        <f>J4</f>
        <v xml:space="preserve">strieborná 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čierna mat</v>
      </c>
      <c r="D809" s="1">
        <v>452601</v>
      </c>
      <c r="E809" s="48" t="str">
        <f>+VLOOKUP(A809,cennik!A:G,2,FALSE)</f>
        <v>SEVROLL 05306 Faworyt II úchytová lišta 2,7m čierna mat</v>
      </c>
      <c r="F809" s="48" t="str">
        <f>+VLOOKUP(A809,cennik!A:B,2,FALSE)</f>
        <v>SEVROLL 05306 Faworyt II úchytová lišta 2,7m čierna mat</v>
      </c>
      <c r="I809" s="1" t="str">
        <f>J17</f>
        <v>čierna mat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41">
        <v>276742</v>
      </c>
      <c r="B810" s="442"/>
      <c r="C810" s="1" t="str">
        <f>J18</f>
        <v>biela mat</v>
      </c>
      <c r="D810" s="441">
        <v>276742</v>
      </c>
      <c r="E810" s="48" t="str">
        <f>+VLOOKUP(A810,cennik!A:G,2,FALSE)</f>
        <v>SEVROLL 04556 Faworyt II úchytová lišta 2,7m biela mat</v>
      </c>
      <c r="F810" s="48" t="str">
        <f>+VLOOKUP(A810,cennik!A:B,2,FALSE)</f>
        <v>SEVROLL 04556 Faworyt II úchytová lišta 2,7m biela mat</v>
      </c>
      <c r="G810" s="442"/>
      <c r="H810" s="442"/>
      <c r="I810" s="1" t="str">
        <f>J18</f>
        <v>biela mat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oliva</v>
      </c>
      <c r="D811" s="49">
        <v>135706</v>
      </c>
      <c r="E811" s="48" t="str">
        <f>+VLOOKUP(A811,cennik!A:G,2,FALSE)</f>
        <v>SEVROLL 04551 Faworyt II úchytová lišta 2,7m oliva</v>
      </c>
      <c r="F811" s="48" t="str">
        <f>+VLOOKUP(A811,cennik!A:B,2,FALSE)</f>
        <v>SEVROLL 04551 Faworyt II úchytová lišta 2,7m oliva</v>
      </c>
      <c r="I811" s="1" t="str">
        <f>J6</f>
        <v>oliva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biela lesk</v>
      </c>
      <c r="D812" s="49">
        <v>252569</v>
      </c>
      <c r="E812" s="48" t="str">
        <f>+VLOOKUP(A812,cennik!A:G,2,FALSE)</f>
        <v>SEVROLL 04554 Faworyt II úchytová lišta 2,7m biela lesk</v>
      </c>
      <c r="F812" s="48" t="str">
        <f>+VLOOKUP(A812,cennik!A:B,2,FALSE)</f>
        <v>SEVROLL 04554 Faworyt II úchytová lišta 2,7m biela lesk</v>
      </c>
      <c r="I812" s="1" t="str">
        <f>J15</f>
        <v>biela lesk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 xml:space="preserve">strieborná </v>
      </c>
      <c r="D813" s="49">
        <v>135552</v>
      </c>
      <c r="E813" s="48" t="str">
        <f>+VLOOKUP(A813,cennik!A:G,2,FALSE)</f>
        <v>SEVROLL Minicomfort II úch.lišta 2,7m str.</v>
      </c>
      <c r="F813" s="48" t="str">
        <f>+VLOOKUP(A813,cennik!A:B,2,FALSE)</f>
        <v>SEVROLL Minicomfort II úch.lišta 2,7m str.</v>
      </c>
      <c r="I813" s="1" t="str">
        <f>J4</f>
        <v xml:space="preserve">strieborná 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oliva</v>
      </c>
      <c r="D814" s="49">
        <v>135553</v>
      </c>
      <c r="E814" s="48" t="str">
        <f>+VLOOKUP(A814,cennik!A:G,2,FALSE)</f>
        <v>SEVROLL 02740 Minicomfort II úchytová lišta 2,7m oliva</v>
      </c>
      <c r="F814" s="48" t="str">
        <f>+VLOOKUP(A814,cennik!A:B,2,FALSE)</f>
        <v>SEVROLL 02740 Minicomfort II úchytová lišta 2,7m oliva</v>
      </c>
      <c r="I814" s="1" t="str">
        <f>J6</f>
        <v>oliva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 xml:space="preserve">strieborná </v>
      </c>
      <c r="D815" s="49">
        <v>135555</v>
      </c>
      <c r="E815" s="48" t="str">
        <f>+VLOOKUP(A815,cennik!A:G,2,FALSE)</f>
        <v>SEVROLL Comfort 18 II úch.lišta 2,7m str,</v>
      </c>
      <c r="F815" s="48" t="str">
        <f>+VLOOKUP(A815,cennik!A:B,2,FALSE)</f>
        <v>SEVROLL Comfort 18 II úch.lišta 2,7m str,</v>
      </c>
      <c r="I815" s="1" t="str">
        <f>J4</f>
        <v xml:space="preserve">strieborná 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oliva</v>
      </c>
      <c r="D816" s="49">
        <v>135556</v>
      </c>
      <c r="E816" s="48" t="str">
        <f>+VLOOKUP(A816,cennik!A:G,2,FALSE)</f>
        <v>SEVROLL 02721 Comfort 18 II úchytová lišta 2,7m oliva</v>
      </c>
      <c r="F816" s="48" t="str">
        <f>+VLOOKUP(A816,cennik!A:B,2,FALSE)</f>
        <v>SEVROLL 02721 Comfort 18 II úchytová lišta 2,7m oliva</v>
      </c>
      <c r="I816" s="1" t="str">
        <f>J6</f>
        <v>oliva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 xml:space="preserve">strieborná </v>
      </c>
      <c r="D817" s="49">
        <v>135684</v>
      </c>
      <c r="E817" s="48" t="str">
        <f>+VLOOKUP(A817,cennik!A:G,2,FALSE)</f>
        <v>SEVROLL Unicomfort II úch.lišta 2,7m str.</v>
      </c>
      <c r="F817" s="48" t="str">
        <f>+VLOOKUP(A817,cennik!A:B,2,FALSE)</f>
        <v>SEVROLL Unicomfort II úch.lišta 2,7m str.</v>
      </c>
      <c r="I817" s="1" t="str">
        <f>J4</f>
        <v xml:space="preserve">strieborná 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oliva</v>
      </c>
      <c r="D818" s="49">
        <v>135685</v>
      </c>
      <c r="E818" s="48" t="str">
        <f>+VLOOKUP(A818,cennik!A:G,2,FALSE)</f>
        <v>SEVROLL 02726 Unicomfort II úchytová lišta 2,7m oliva</v>
      </c>
      <c r="F818" s="48" t="str">
        <f>+VLOOKUP(A818,cennik!A:B,2,FALSE)</f>
        <v>SEVROLL 02726 Unicomfort II úchytová lišta 2,7m oliva</v>
      </c>
      <c r="I818" s="1" t="str">
        <f>J6</f>
        <v>oliva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 xml:space="preserve">strieborná </v>
      </c>
      <c r="D819" s="14">
        <v>233428</v>
      </c>
      <c r="E819" s="48" t="str">
        <f>+VLOOKUP(A819,cennik!A:G,2,FALSE)</f>
        <v>Sevroll 85003 Fiona II úchytová lišta 2,7m strieborná</v>
      </c>
      <c r="F819" s="48" t="str">
        <f>+VLOOKUP(A819,cennik!A:B,2,FALSE)</f>
        <v>Sevroll 85003 Fiona II úchytová lišta 2,7m strieborná</v>
      </c>
      <c r="G819" s="152"/>
      <c r="H819" s="152"/>
      <c r="I819" s="152" t="str">
        <f>J4</f>
        <v xml:space="preserve">strieborná 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 xml:space="preserve">strieborná </v>
      </c>
      <c r="D820" s="49">
        <v>98002</v>
      </c>
      <c r="E820" s="48" t="str">
        <f>+VLOOKUP(A820,cennik!A:G,2,FALSE)</f>
        <v>Sevroll (Astin) Orient úch.lišta 2,7m str. (32/1)</v>
      </c>
      <c r="F820" s="48" t="str">
        <f>+VLOOKUP(A820,cennik!A:B,2,FALSE)</f>
        <v>Sevroll (Astin) Orient úch.lišta 2,7m str. (32/1)</v>
      </c>
      <c r="G820" s="152"/>
      <c r="H820" s="152"/>
      <c r="I820" s="152" t="str">
        <f>J4</f>
        <v xml:space="preserve">strieborná 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 xml:space="preserve">strieborná </v>
      </c>
      <c r="D821" s="49">
        <v>98001</v>
      </c>
      <c r="E821" s="48" t="str">
        <f>+VLOOKUP(A821,cennik!A:G,2,FALSE)</f>
        <v>Sevroll (Astin) Elegant úch.lišta 2,7m str. (22/1)</v>
      </c>
      <c r="F821" s="48" t="str">
        <f>+VLOOKUP(A821,cennik!A:B,2,FALSE)</f>
        <v>Sevroll (Astin) Elegant úch.lišta 2,7m str. (22/1)</v>
      </c>
      <c r="G821" s="152"/>
      <c r="H821" s="152"/>
      <c r="I821" s="152" t="str">
        <f>J4</f>
        <v xml:space="preserve">strieborná 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 xml:space="preserve">1800-strieborná </v>
      </c>
      <c r="D822" s="49">
        <v>98003</v>
      </c>
      <c r="E822" s="48" t="str">
        <f>+VLOOKUP(A822,cennik!A:G,2,FALSE)</f>
        <v>Sevroll (Astin)-HORNÝ PROFIL 1,8M HLINÍK (32/1)</v>
      </c>
      <c r="F822" s="48" t="str">
        <f>+VLOOKUP(A822,cennik!A:B,2,FALSE)</f>
        <v>Sevroll (Astin)-HORNÝ PROFIL 1,8M HLINÍK (32/1)</v>
      </c>
      <c r="G822" s="152"/>
      <c r="H822" s="152">
        <v>1800</v>
      </c>
      <c r="I822" s="152" t="str">
        <f>CONCATENATE(H822,"-",J4)</f>
        <v xml:space="preserve">1800-strieborná 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 xml:space="preserve">2700-strieborná </v>
      </c>
      <c r="D823" s="49">
        <v>98004</v>
      </c>
      <c r="E823" s="48" t="str">
        <f>+VLOOKUP(A823,cennik!A:G,2,FALSE)</f>
        <v>Sevroll (Astin)-HORNÝ PROFIL 2,7M HLINÍK (32/1)</v>
      </c>
      <c r="F823" s="48" t="str">
        <f>+VLOOKUP(A823,cennik!A:B,2,FALSE)</f>
        <v>Sevroll (Astin)-HORNÝ PROFIL 2,7M HLINÍK (32/1)</v>
      </c>
      <c r="G823" s="152"/>
      <c r="H823" s="152">
        <v>2700</v>
      </c>
      <c r="I823" s="152" t="str">
        <f>CONCATENATE(H823,"-",J4)</f>
        <v xml:space="preserve">2700-strieborná 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 xml:space="preserve">3600-strieborná </v>
      </c>
      <c r="D824" s="49">
        <v>98005</v>
      </c>
      <c r="E824" s="48" t="str">
        <f>+VLOOKUP(A824,cennik!A:G,2,FALSE)</f>
        <v>Sevroll (Astin)-HORNÝ PROFIL 3,6M HLINÍK (32/1)</v>
      </c>
      <c r="F824" s="48" t="str">
        <f>+VLOOKUP(A824,cennik!A:B,2,FALSE)</f>
        <v>Sevroll (Astin)-HORNÝ PROFIL 3,6M HLINÍK (32/1)</v>
      </c>
      <c r="G824" s="152"/>
      <c r="H824" s="152">
        <v>3600</v>
      </c>
      <c r="I824" s="152" t="str">
        <f>CONCATENATE(H824,"-",J4)</f>
        <v xml:space="preserve">3600-strieborná 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 xml:space="preserve">1800-strieborná </v>
      </c>
      <c r="D825" s="49">
        <v>98007</v>
      </c>
      <c r="E825" s="48" t="str">
        <f>+VLOOKUP(A825,cennik!A:G,2,FALSE)</f>
        <v>Sevroll (Astin)-SPODNÝ PROFIL 1,8M HLINÍK (22/1)</v>
      </c>
      <c r="F825" s="48" t="str">
        <f>+VLOOKUP(A825,cennik!A:B,2,FALSE)</f>
        <v>Sevroll (Astin)-SPODNÝ PROFIL 1,8M HLINÍK (22/1)</v>
      </c>
      <c r="G825" s="152"/>
      <c r="H825" s="152">
        <v>1800</v>
      </c>
      <c r="I825" s="152" t="str">
        <f>CONCATENATE(H825,"-",J4)</f>
        <v xml:space="preserve">1800-strieborná </v>
      </c>
      <c r="Z825" s="1" t="b">
        <f t="shared" si="18"/>
        <v>1</v>
      </c>
    </row>
    <row r="826" spans="1:26" s="422" customFormat="1" ht="15" customHeight="1" x14ac:dyDescent="0.3">
      <c r="A826" s="49">
        <v>98008</v>
      </c>
      <c r="B826" s="48"/>
      <c r="C826" s="152" t="str">
        <f>CONCATENATE(H826,"-",J4)</f>
        <v xml:space="preserve">2700-strieborná </v>
      </c>
      <c r="D826" s="49">
        <v>98008</v>
      </c>
      <c r="E826" s="48" t="str">
        <f>+VLOOKUP(A826,cennik!A:G,2,FALSE)</f>
        <v>Sevroll (Astin)-SPODNÝ PROFIL 2,7M HLINÍK (22/1)</v>
      </c>
      <c r="F826" s="48" t="str">
        <f>+VLOOKUP(A826,cennik!A:B,2,FALSE)</f>
        <v>Sevroll (Astin)-SPODNÝ PROFIL 2,7M HLINÍK (22/1)</v>
      </c>
      <c r="G826" s="152"/>
      <c r="H826" s="152">
        <v>2700</v>
      </c>
      <c r="I826" s="152" t="str">
        <f>CONCATENATE(H826,"-",J4)</f>
        <v xml:space="preserve">2700-strieborná </v>
      </c>
      <c r="Z826" s="1" t="b">
        <f t="shared" si="18"/>
        <v>1</v>
      </c>
    </row>
    <row r="827" spans="1:26" s="422" customFormat="1" ht="15" customHeight="1" x14ac:dyDescent="0.3">
      <c r="A827" s="49">
        <v>98009</v>
      </c>
      <c r="B827" s="48"/>
      <c r="C827" s="152" t="str">
        <f>CONCATENATE(H827,"-",J4)</f>
        <v xml:space="preserve">3600-strieborná </v>
      </c>
      <c r="D827" s="49">
        <v>98009</v>
      </c>
      <c r="E827" s="48" t="str">
        <f>+VLOOKUP(A827,cennik!A:G,2,FALSE)</f>
        <v>Sevroll (Astin)-SPODNÝ PROFIL 3,6M HLINÍK (22/1)</v>
      </c>
      <c r="F827" s="48" t="str">
        <f>+VLOOKUP(A827,cennik!A:B,2,FALSE)</f>
        <v>Sevroll (Astin)-SPODNÝ PROFIL 3,6M HLINÍK (22/1)</v>
      </c>
      <c r="G827" s="152"/>
      <c r="H827" s="152">
        <v>3600</v>
      </c>
      <c r="I827" s="152" t="str">
        <f>CONCATENATE(H827,"-",J4)</f>
        <v xml:space="preserve">3600-strieborná </v>
      </c>
      <c r="Z827" s="1" t="b">
        <f t="shared" si="18"/>
        <v>1</v>
      </c>
    </row>
    <row r="828" spans="1:26" s="422" customFormat="1" ht="15" customHeight="1" x14ac:dyDescent="0.3">
      <c r="A828" s="49">
        <v>98011</v>
      </c>
      <c r="B828" s="48" t="s">
        <v>593</v>
      </c>
      <c r="C828" s="152" t="str">
        <f>CONCATENATE(H828,"-",J4)</f>
        <v xml:space="preserve">1800-strieborná </v>
      </c>
      <c r="D828" s="49">
        <v>98011</v>
      </c>
      <c r="E828" s="48" t="str">
        <f>+VLOOKUP(A828,cennik!A:G,2,FALSE)</f>
        <v>Sevroll (Astin)-UHOLNÍK 1,8M HLINÍK (22/1)</v>
      </c>
      <c r="F828" s="48" t="str">
        <f>+VLOOKUP(A828,cennik!A:B,2,FALSE)</f>
        <v>Sevroll (Astin)-UHOLNÍK 1,8M HLINÍK (22/1)</v>
      </c>
      <c r="G828" s="152"/>
      <c r="H828" s="152">
        <v>1800</v>
      </c>
      <c r="I828" s="152" t="str">
        <f>CONCATENATE(H828,"-",J4)</f>
        <v xml:space="preserve">1800-strieborná </v>
      </c>
      <c r="Z828" s="1" t="b">
        <f t="shared" si="18"/>
        <v>1</v>
      </c>
    </row>
    <row r="829" spans="1:26" s="422" customFormat="1" ht="15" customHeight="1" x14ac:dyDescent="0.3">
      <c r="A829" s="49">
        <v>98012</v>
      </c>
      <c r="B829" s="48"/>
      <c r="C829" s="152" t="str">
        <f>CONCATENATE(H829,"-",J4)</f>
        <v xml:space="preserve">2700-strieborná </v>
      </c>
      <c r="D829" s="49">
        <v>98012</v>
      </c>
      <c r="E829" s="48" t="str">
        <f>+VLOOKUP(A829,cennik!A:G,2,FALSE)</f>
        <v>Sevroll (Astin) UHOLNÍK 2,7M str. (22/1)</v>
      </c>
      <c r="F829" s="48" t="str">
        <f>+VLOOKUP(A829,cennik!A:B,2,FALSE)</f>
        <v>Sevroll (Astin) UHOLNÍK 2,7M str. (22/1)</v>
      </c>
      <c r="G829" s="152"/>
      <c r="H829" s="152">
        <v>2700</v>
      </c>
      <c r="I829" s="152" t="str">
        <f>CONCATENATE(H829,"-",J4)</f>
        <v xml:space="preserve">2700-strieborná </v>
      </c>
      <c r="Z829" s="1" t="b">
        <f t="shared" si="18"/>
        <v>1</v>
      </c>
    </row>
    <row r="830" spans="1:26" s="422" customFormat="1" ht="15" customHeight="1" x14ac:dyDescent="0.3">
      <c r="A830" s="49">
        <v>98013</v>
      </c>
      <c r="B830" s="48"/>
      <c r="C830" s="152" t="str">
        <f>CONCATENATE(H830,"-",J4)</f>
        <v xml:space="preserve">3600-strieborná </v>
      </c>
      <c r="D830" s="49">
        <v>98013</v>
      </c>
      <c r="E830" s="48" t="str">
        <f>+VLOOKUP(A830,cennik!A:G,2,FALSE)</f>
        <v>Sevroll (Astin)-UHOLNÍK 3,6M HLINÍK (22/1)</v>
      </c>
      <c r="F830" s="48" t="str">
        <f>+VLOOKUP(A830,cennik!A:B,2,FALSE)</f>
        <v>Sevroll (Astin)-UHOLNÍK 3,6M HLINÍK (22/1)</v>
      </c>
      <c r="G830" s="152"/>
      <c r="H830" s="152">
        <v>3600</v>
      </c>
      <c r="I830" s="152" t="str">
        <f>CONCATENATE(H830,"-",J4)</f>
        <v xml:space="preserve">3600-strieborná </v>
      </c>
      <c r="Z830" s="1" t="b">
        <f t="shared" si="18"/>
        <v>1</v>
      </c>
    </row>
    <row r="831" spans="1:26" s="422" customFormat="1" ht="15" customHeight="1" x14ac:dyDescent="0.3">
      <c r="A831" s="49">
        <v>98015</v>
      </c>
      <c r="B831" s="48" t="s">
        <v>594</v>
      </c>
      <c r="C831" s="152" t="str">
        <f>J4</f>
        <v xml:space="preserve">strieborná </v>
      </c>
      <c r="D831" s="49">
        <v>98015</v>
      </c>
      <c r="E831" s="48" t="str">
        <f>+VLOOKUP(A831,cennik!A:G,2,FALSE)</f>
        <v>Sevroll (Astin) spojovací H08 profil 3m strieborná</v>
      </c>
      <c r="F831" s="48" t="str">
        <f>+VLOOKUP(A831,cennik!A:B,2,FALSE)</f>
        <v>Sevroll (Astin) spojovací H08 profil 3m strieborná</v>
      </c>
      <c r="G831" s="152"/>
      <c r="H831" s="152"/>
      <c r="I831" s="152" t="str">
        <f>J4</f>
        <v xml:space="preserve">strieborná </v>
      </c>
      <c r="Z831" s="1" t="b">
        <f t="shared" si="18"/>
        <v>1</v>
      </c>
    </row>
    <row r="832" spans="1:26" s="422" customFormat="1" ht="15" customHeight="1" x14ac:dyDescent="0.3">
      <c r="A832" s="49">
        <v>213609</v>
      </c>
      <c r="B832" s="48"/>
      <c r="C832" s="152" t="str">
        <f>J4</f>
        <v xml:space="preserve">strieborná </v>
      </c>
      <c r="D832" s="49">
        <v>213609</v>
      </c>
      <c r="E832" s="48" t="str">
        <f>+VLOOKUP(A832,cennik!A:G,2,FALSE)</f>
        <v>SEVROLL Hide M spodné vedenie Hide M 3m stri</v>
      </c>
      <c r="F832" s="48" t="str">
        <f>+VLOOKUP(A832,cennik!A:B,2,FALSE)</f>
        <v>SEVROLL Hide M spodné vedenie Hide M 3m stri</v>
      </c>
      <c r="G832" s="1"/>
      <c r="H832" s="1">
        <v>3000</v>
      </c>
      <c r="I832" s="152" t="str">
        <f>CONCATENATE(H832,"-",J4)</f>
        <v xml:space="preserve">3000-strieborná </v>
      </c>
      <c r="Z832" s="1" t="b">
        <f t="shared" si="18"/>
        <v>1</v>
      </c>
    </row>
    <row r="833" spans="1:26" s="422" customFormat="1" ht="15" customHeight="1" x14ac:dyDescent="0.3">
      <c r="A833" s="49">
        <v>197753</v>
      </c>
      <c r="B833" s="48"/>
      <c r="C833" s="152" t="str">
        <f>J4</f>
        <v xml:space="preserve">strieborná </v>
      </c>
      <c r="D833" s="49">
        <v>197753</v>
      </c>
      <c r="E833" s="48" t="str">
        <f>+VLOOKUP(A833,cennik!A:G,2,FALSE)</f>
        <v>SEVROLL Hide N spodné vedenie Hide N 3m stri</v>
      </c>
      <c r="F833" s="48" t="str">
        <f>+VLOOKUP(A833,cennik!A:B,2,FALSE)</f>
        <v>SEVROLL Hide N spodné vedenie Hide N 3m stri</v>
      </c>
      <c r="G833" s="1"/>
      <c r="H833" s="1">
        <v>3000</v>
      </c>
      <c r="I833" s="152" t="str">
        <f>CONCATENATE(H833,"-",J4)</f>
        <v xml:space="preserve">3000-strieborná </v>
      </c>
      <c r="Z833" s="1" t="b">
        <f t="shared" si="18"/>
        <v>1</v>
      </c>
    </row>
    <row r="834" spans="1:26" s="422" customFormat="1" ht="15" customHeight="1" x14ac:dyDescent="0.3">
      <c r="A834" s="49">
        <v>223405</v>
      </c>
      <c r="B834" s="48"/>
      <c r="C834" s="152" t="str">
        <f>J6</f>
        <v>oliva</v>
      </c>
      <c r="D834" s="49">
        <v>223405</v>
      </c>
      <c r="E834" s="48" t="str">
        <f>+VLOOKUP(A834,cennik!A:G,2,FALSE)</f>
        <v>SEVROLL Hide M spodné vedenie 3m oliva</v>
      </c>
      <c r="F834" s="48" t="str">
        <f>+VLOOKUP(A834,cennik!A:B,2,FALSE)</f>
        <v>SEVROLL Hide M spodné vedenie 3m oliva</v>
      </c>
      <c r="G834" s="1"/>
      <c r="H834" s="1">
        <v>3000</v>
      </c>
      <c r="I834" s="152" t="str">
        <f>CONCATENATE(H834,"-",J4)</f>
        <v xml:space="preserve">3000-strieborná </v>
      </c>
      <c r="Z834" s="1" t="b">
        <f t="shared" si="18"/>
        <v>1</v>
      </c>
    </row>
    <row r="835" spans="1:26" s="422" customFormat="1" ht="15" customHeight="1" x14ac:dyDescent="0.3">
      <c r="A835" s="49">
        <v>197755</v>
      </c>
      <c r="B835" s="48"/>
      <c r="C835" s="152" t="str">
        <f>J6</f>
        <v>oliva</v>
      </c>
      <c r="D835" s="49">
        <v>197755</v>
      </c>
      <c r="E835" s="48" t="str">
        <f>+VLOOKUP(A835,cennik!A:G,2,FALSE)</f>
        <v>SEVROLL 02578 Hide N spodné vedenie 3m oliva</v>
      </c>
      <c r="F835" s="48" t="str">
        <f>+VLOOKUP(A835,cennik!A:B,2,FALSE)</f>
        <v>SEVROLL 02578 Hide N spodné vedenie 3m oliva</v>
      </c>
      <c r="G835" s="1"/>
      <c r="H835" s="1">
        <v>3000</v>
      </c>
      <c r="I835" s="152" t="str">
        <f>CONCATENATE(H835,"-",J4)</f>
        <v xml:space="preserve">3000-strieborná </v>
      </c>
      <c r="Z835" s="1" t="b">
        <f t="shared" si="18"/>
        <v>1</v>
      </c>
    </row>
    <row r="836" spans="1:26" s="422" customFormat="1" ht="15" customHeight="1" x14ac:dyDescent="0.3">
      <c r="A836" s="49">
        <v>279078</v>
      </c>
      <c r="B836" s="48"/>
      <c r="C836" s="152" t="str">
        <f>J6</f>
        <v>oliva</v>
      </c>
      <c r="D836" s="49">
        <v>279078</v>
      </c>
      <c r="E836" s="48" t="str">
        <f>+VLOOKUP(A836,cennik!A:G,2,FALSE)</f>
        <v>SEVROLL Hide N spodné vedenie 6m oliva</v>
      </c>
      <c r="F836" s="48" t="str">
        <f>+VLOOKUP(A836,cennik!A:B,2,FALSE)</f>
        <v>SEVROLL Hide N spodné vedenie 6m oliva</v>
      </c>
      <c r="G836" s="1"/>
      <c r="H836" s="1">
        <v>6000</v>
      </c>
      <c r="I836" s="152" t="str">
        <f>CONCATENATE(H836,"-",J4)</f>
        <v xml:space="preserve">6000-strieborná </v>
      </c>
      <c r="Z836" s="1" t="b">
        <f t="shared" si="18"/>
        <v>1</v>
      </c>
    </row>
    <row r="837" spans="1:26" s="422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koncovka k lište Hide N strieborná</v>
      </c>
      <c r="F837" s="48" t="str">
        <f>+VLOOKUP(A837,cennik!A:B,2,FALSE)</f>
        <v>SEVROLL 20208 koncovka k lište Hide N strieborná</v>
      </c>
      <c r="G837" s="1"/>
      <c r="H837" s="1"/>
      <c r="I837" s="1"/>
      <c r="Z837" s="1" t="b">
        <f t="shared" si="18"/>
        <v>1</v>
      </c>
    </row>
    <row r="838" spans="1:26" s="422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20208 brzda k lište Hide N a M</v>
      </c>
      <c r="F838" s="48" t="str">
        <f>+VLOOKUP(A838,cennik!A:B,2,FALSE)</f>
        <v>SEVROLL 20208 brzda k lište Hide N a M</v>
      </c>
      <c r="G838" s="1"/>
      <c r="H838" s="1"/>
      <c r="I838" s="1"/>
      <c r="Z838" s="1" t="b">
        <f t="shared" si="18"/>
        <v>1</v>
      </c>
    </row>
    <row r="839" spans="1:26" s="422" customFormat="1" ht="15" customHeight="1" x14ac:dyDescent="0.3">
      <c r="A839" s="426">
        <v>98067</v>
      </c>
      <c r="B839" s="427" t="s">
        <v>1715</v>
      </c>
      <c r="C839" s="425" t="str">
        <f>CONCATENATE(H839,"-",J4)</f>
        <v xml:space="preserve">14,5-strieborná </v>
      </c>
      <c r="D839" s="426">
        <v>98067</v>
      </c>
      <c r="E839" s="424" t="str">
        <f>+VLOOKUP(A839,cennik!A:G,2,FALSE)</f>
        <v>SEVROLL dorazová kefa zásuvná 14x4mm sivá</v>
      </c>
      <c r="F839" s="424" t="str">
        <f>+VLOOKUP(A839,cennik!A:B,2,FALSE)</f>
        <v>SEVROLL dorazová kefa zásuvná 14x4mm sivá</v>
      </c>
      <c r="H839" s="422">
        <v>14.5</v>
      </c>
      <c r="I839" s="425" t="str">
        <f>CONCATENATE(N826,"-",J4)</f>
        <v xml:space="preserve">-strieborná </v>
      </c>
      <c r="Z839" s="1" t="b">
        <f t="shared" si="18"/>
        <v>1</v>
      </c>
    </row>
    <row r="840" spans="1:26" s="422" customFormat="1" ht="15" customHeight="1" x14ac:dyDescent="0.3">
      <c r="A840" s="426">
        <v>306523</v>
      </c>
      <c r="B840" s="427" t="s">
        <v>1715</v>
      </c>
      <c r="C840" s="425" t="str">
        <f>CONCATENATE(H840,"-",J18)</f>
        <v>14,5-biela mat</v>
      </c>
      <c r="D840" s="426">
        <v>306523</v>
      </c>
      <c r="E840" s="424" t="str">
        <f>+VLOOKUP(A840,cennik!A:G,2,FALSE)</f>
        <v>SEVROLL 20288-SV dorazová štetina zásuvná 14x4mm biela</v>
      </c>
      <c r="F840" s="424" t="str">
        <f>+VLOOKUP(A840,cennik!A:B,2,FALSE)</f>
        <v>SEVROLL 20288-SV dorazová štetina zásuvná 14x4mm biela</v>
      </c>
      <c r="H840" s="422">
        <v>14.5</v>
      </c>
      <c r="I840" s="422" t="str">
        <f>J18</f>
        <v>biela mat</v>
      </c>
      <c r="Z840" s="1"/>
    </row>
    <row r="841" spans="1:26" s="422" customFormat="1" ht="15" customHeight="1" x14ac:dyDescent="0.3">
      <c r="A841" s="426">
        <v>306523</v>
      </c>
      <c r="B841" s="427" t="s">
        <v>1715</v>
      </c>
      <c r="C841" s="425" t="str">
        <f>CONCATENATE(H841,"-",J15)</f>
        <v>14,5-biela lesk</v>
      </c>
      <c r="D841" s="426">
        <v>306523</v>
      </c>
      <c r="E841" s="424" t="str">
        <f>+VLOOKUP(A841,cennik!A:G,2,FALSE)</f>
        <v>SEVROLL 20288-SV dorazová štetina zásuvná 14x4mm biela</v>
      </c>
      <c r="F841" s="424" t="str">
        <f>+VLOOKUP(A841,cennik!A:B,2,FALSE)</f>
        <v>SEVROLL 20288-SV dorazová štetina zásuvná 14x4mm biela</v>
      </c>
      <c r="H841" s="422">
        <v>14.5</v>
      </c>
      <c r="I841" s="422" t="str">
        <f>J15</f>
        <v>biela lesk</v>
      </c>
      <c r="Z841" s="1" t="b">
        <f t="shared" si="18"/>
        <v>1</v>
      </c>
    </row>
    <row r="842" spans="1:26" s="422" customFormat="1" ht="15" customHeight="1" x14ac:dyDescent="0.3">
      <c r="A842" s="426">
        <v>98067</v>
      </c>
      <c r="B842" s="427" t="s">
        <v>1715</v>
      </c>
      <c r="C842" s="425" t="str">
        <f>CONCATENATE(H842,"-",J5)</f>
        <v>14,5-zlatá</v>
      </c>
      <c r="D842" s="426">
        <v>98067</v>
      </c>
      <c r="E842" s="424" t="str">
        <f>+VLOOKUP(A842,cennik!A:G,2,FALSE)</f>
        <v>SEVROLL dorazová kefa zásuvná 14x4mm sivá</v>
      </c>
      <c r="F842" s="424" t="str">
        <f>+VLOOKUP(A842,cennik!A:B,2,FALSE)</f>
        <v>SEVROLL dorazová kefa zásuvná 14x4mm sivá</v>
      </c>
      <c r="H842" s="422">
        <v>14.5</v>
      </c>
      <c r="I842" s="425" t="str">
        <f>CONCATENATE(N828,"-",J5)</f>
        <v>-zlatá</v>
      </c>
      <c r="Z842" s="1" t="b">
        <f t="shared" si="18"/>
        <v>1</v>
      </c>
    </row>
    <row r="843" spans="1:26" s="422" customFormat="1" ht="15" customHeight="1" x14ac:dyDescent="0.3">
      <c r="A843" s="426">
        <v>98067</v>
      </c>
      <c r="B843" s="427" t="s">
        <v>1715</v>
      </c>
      <c r="C843" s="425" t="str">
        <f>CONCATENATE(H843,"-",J6)</f>
        <v>14,5-oliva</v>
      </c>
      <c r="D843" s="426">
        <v>98067</v>
      </c>
      <c r="E843" s="424" t="str">
        <f>+VLOOKUP(A843,cennik!A:G,2,FALSE)</f>
        <v>SEVROLL dorazová kefa zásuvná 14x4mm sivá</v>
      </c>
      <c r="F843" s="424" t="str">
        <f>+VLOOKUP(A843,cennik!A:B,2,FALSE)</f>
        <v>SEVROLL dorazová kefa zásuvná 14x4mm sivá</v>
      </c>
      <c r="H843" s="422">
        <v>14.5</v>
      </c>
      <c r="I843" s="425" t="str">
        <f>CONCATENATE(N829,"-",J6)</f>
        <v>-oliva</v>
      </c>
      <c r="Z843" s="1" t="b">
        <f t="shared" si="18"/>
        <v>1</v>
      </c>
    </row>
    <row r="844" spans="1:26" s="422" customFormat="1" ht="15" customHeight="1" x14ac:dyDescent="0.3">
      <c r="A844" s="426">
        <v>98067</v>
      </c>
      <c r="B844" s="427" t="s">
        <v>1715</v>
      </c>
      <c r="C844" s="425" t="str">
        <f>CONCATENATE(H844,"-",J7)</f>
        <v>14,5-oliva kartáčovaná</v>
      </c>
      <c r="D844" s="426">
        <v>98067</v>
      </c>
      <c r="E844" s="424" t="str">
        <f>+VLOOKUP(A844,cennik!A:G,2,FALSE)</f>
        <v>SEVROLL dorazová kefa zásuvná 14x4mm sivá</v>
      </c>
      <c r="F844" s="424" t="str">
        <f>+VLOOKUP(A844,cennik!A:B,2,FALSE)</f>
        <v>SEVROLL dorazová kefa zásuvná 14x4mm sivá</v>
      </c>
      <c r="H844" s="422">
        <v>14.5</v>
      </c>
      <c r="I844" s="425" t="str">
        <f>CONCATENATE(N830,"-",J7)</f>
        <v>-oliva kartáčovaná</v>
      </c>
      <c r="Z844" s="1" t="b">
        <f t="shared" si="18"/>
        <v>1</v>
      </c>
    </row>
    <row r="845" spans="1:26" ht="15" customHeight="1" x14ac:dyDescent="0.3">
      <c r="A845" s="426">
        <v>98067</v>
      </c>
      <c r="B845" s="427" t="s">
        <v>1715</v>
      </c>
      <c r="C845" s="425" t="str">
        <f>CONCATENATE(H845,"-",J8)</f>
        <v>14,5-kart. tm. oliva</v>
      </c>
      <c r="D845" s="426">
        <v>98067</v>
      </c>
      <c r="E845" s="424" t="str">
        <f>+VLOOKUP(A845,cennik!A:G,2,FALSE)</f>
        <v>SEVROLL dorazová kefa zásuvná 14x4mm sivá</v>
      </c>
      <c r="F845" s="424" t="str">
        <f>+VLOOKUP(A845,cennik!A:B,2,FALSE)</f>
        <v>SEVROLL dorazová kefa zásuvná 14x4mm sivá</v>
      </c>
      <c r="G845" s="422"/>
      <c r="H845" s="422">
        <v>14.5</v>
      </c>
      <c r="I845" s="425" t="str">
        <f>CONCATENATE(N831,"-",J8)</f>
        <v>-kart. tm. oliva</v>
      </c>
      <c r="Z845" s="1" t="b">
        <f t="shared" si="18"/>
        <v>1</v>
      </c>
    </row>
    <row r="846" spans="1:26" s="430" customFormat="1" ht="15" customHeight="1" x14ac:dyDescent="0.3">
      <c r="A846" s="428">
        <v>409700</v>
      </c>
      <c r="B846" s="427" t="s">
        <v>1715</v>
      </c>
      <c r="C846" s="425" t="str">
        <f>CONCATENATE(H846,"-",J9)</f>
        <v>14,5-kart. čierna</v>
      </c>
      <c r="D846" s="428">
        <v>409700</v>
      </c>
      <c r="E846" s="424" t="str">
        <f>+VLOOKUP(A846,cennik!A:G,2,FALSE)</f>
        <v>SEVROLL 20334-SV dorazová štetina zásuvná 14x4mm čierna</v>
      </c>
      <c r="F846" s="424" t="str">
        <f>+VLOOKUP(A846,cennik!A:B,2,FALSE)</f>
        <v>SEVROLL 20334-SV dorazová štetina zásuvná 14x4mm čierna</v>
      </c>
      <c r="G846" s="422"/>
      <c r="H846" s="422">
        <v>14.5</v>
      </c>
      <c r="I846" s="425" t="str">
        <f>CONCATENATE(N832,"-",J9)</f>
        <v>-kart. čierna</v>
      </c>
      <c r="Z846" s="1" t="b">
        <f t="shared" si="18"/>
        <v>1</v>
      </c>
    </row>
    <row r="847" spans="1:26" s="430" customFormat="1" ht="15" customHeight="1" x14ac:dyDescent="0.3">
      <c r="A847" s="426">
        <v>229433</v>
      </c>
      <c r="B847" s="427" t="s">
        <v>1715</v>
      </c>
      <c r="C847" s="425" t="str">
        <f t="shared" ref="C847:C852" si="19">CONCATENATE(H847,"-",J4)</f>
        <v xml:space="preserve">4,8-strieborná </v>
      </c>
      <c r="D847" s="426">
        <v>229433</v>
      </c>
      <c r="E847" s="424" t="str">
        <f>+VLOOKUP(A847,cennik!A:G,2,FALSE)</f>
        <v>SEVROLL dorazová kefa zásuvná 4,8x4mm sivá</v>
      </c>
      <c r="F847" s="424" t="str">
        <f>+VLOOKUP(A847,cennik!A:B,2,FALSE)</f>
        <v>SEVROLL dorazová kefa zásuvná 4,8x4mm sivá</v>
      </c>
      <c r="G847" s="422"/>
      <c r="H847" s="422">
        <v>4.8</v>
      </c>
      <c r="I847" s="425" t="str">
        <f t="shared" ref="I847:I852" si="20">CONCATENATE(N833,"-",J4)</f>
        <v xml:space="preserve">-strieborná </v>
      </c>
      <c r="Z847" s="1" t="b">
        <f t="shared" si="18"/>
        <v>1</v>
      </c>
    </row>
    <row r="848" spans="1:26" ht="15" customHeight="1" x14ac:dyDescent="0.3">
      <c r="A848" s="426">
        <v>229433</v>
      </c>
      <c r="B848" s="427" t="s">
        <v>1715</v>
      </c>
      <c r="C848" s="425" t="str">
        <f t="shared" si="19"/>
        <v>4,8-zlatá</v>
      </c>
      <c r="D848" s="426">
        <v>229433</v>
      </c>
      <c r="E848" s="424" t="str">
        <f>+VLOOKUP(A848,cennik!A:G,2,FALSE)</f>
        <v>SEVROLL dorazová kefa zásuvná 4,8x4mm sivá</v>
      </c>
      <c r="F848" s="424" t="str">
        <f>+VLOOKUP(A848,cennik!A:B,2,FALSE)</f>
        <v>SEVROLL dorazová kefa zásuvná 4,8x4mm sivá</v>
      </c>
      <c r="G848" s="422"/>
      <c r="H848" s="422">
        <v>4.8</v>
      </c>
      <c r="I848" s="425" t="str">
        <f t="shared" si="20"/>
        <v>-zlatá</v>
      </c>
      <c r="Z848" s="1" t="b">
        <f t="shared" si="18"/>
        <v>1</v>
      </c>
    </row>
    <row r="849" spans="1:26" ht="15" customHeight="1" x14ac:dyDescent="0.3">
      <c r="A849" s="426">
        <v>229433</v>
      </c>
      <c r="B849" s="427" t="s">
        <v>1715</v>
      </c>
      <c r="C849" s="425" t="str">
        <f t="shared" si="19"/>
        <v>4,8-oliva</v>
      </c>
      <c r="D849" s="426">
        <v>229433</v>
      </c>
      <c r="E849" s="424" t="str">
        <f>+VLOOKUP(A849,cennik!A:G,2,FALSE)</f>
        <v>SEVROLL dorazová kefa zásuvná 4,8x4mm sivá</v>
      </c>
      <c r="F849" s="424" t="str">
        <f>+VLOOKUP(A849,cennik!A:B,2,FALSE)</f>
        <v>SEVROLL dorazová kefa zásuvná 4,8x4mm sivá</v>
      </c>
      <c r="G849" s="422"/>
      <c r="H849" s="422">
        <v>4.8</v>
      </c>
      <c r="I849" s="425" t="str">
        <f t="shared" si="20"/>
        <v>-oliva</v>
      </c>
      <c r="Z849" s="1" t="b">
        <f t="shared" si="18"/>
        <v>1</v>
      </c>
    </row>
    <row r="850" spans="1:26" ht="15" customHeight="1" x14ac:dyDescent="0.3">
      <c r="A850" s="426">
        <v>229433</v>
      </c>
      <c r="B850" s="427" t="s">
        <v>1715</v>
      </c>
      <c r="C850" s="425" t="str">
        <f t="shared" si="19"/>
        <v>4,8-oliva kartáčovaná</v>
      </c>
      <c r="D850" s="426">
        <v>229433</v>
      </c>
      <c r="E850" s="424" t="str">
        <f>+VLOOKUP(A850,cennik!A:G,2,FALSE)</f>
        <v>SEVROLL dorazová kefa zásuvná 4,8x4mm sivá</v>
      </c>
      <c r="F850" s="424" t="str">
        <f>+VLOOKUP(A850,cennik!A:B,2,FALSE)</f>
        <v>SEVROLL dorazová kefa zásuvná 4,8x4mm sivá</v>
      </c>
      <c r="G850" s="422"/>
      <c r="H850" s="422">
        <v>4.8</v>
      </c>
      <c r="I850" s="425" t="str">
        <f t="shared" si="20"/>
        <v>-oliva kartáčovaná</v>
      </c>
      <c r="Z850" s="1" t="b">
        <f t="shared" ref="Z850:Z885" si="21">A850=D850</f>
        <v>1</v>
      </c>
    </row>
    <row r="851" spans="1:26" ht="15" customHeight="1" x14ac:dyDescent="0.3">
      <c r="A851" s="426">
        <v>229433</v>
      </c>
      <c r="B851" s="427" t="s">
        <v>1715</v>
      </c>
      <c r="C851" s="425" t="str">
        <f t="shared" si="19"/>
        <v>4,8-kart. tm. oliva</v>
      </c>
      <c r="D851" s="426">
        <v>229433</v>
      </c>
      <c r="E851" s="424" t="str">
        <f>+VLOOKUP(A851,cennik!A:G,2,FALSE)</f>
        <v>SEVROLL dorazová kefa zásuvná 4,8x4mm sivá</v>
      </c>
      <c r="F851" s="424" t="str">
        <f>+VLOOKUP(A851,cennik!A:B,2,FALSE)</f>
        <v>SEVROLL dorazová kefa zásuvná 4,8x4mm sivá</v>
      </c>
      <c r="G851" s="422"/>
      <c r="H851" s="422">
        <v>4.8</v>
      </c>
      <c r="I851" s="425" t="str">
        <f t="shared" si="20"/>
        <v>-kart. tm. oliva</v>
      </c>
      <c r="Z851" s="1" t="b">
        <f t="shared" si="21"/>
        <v>1</v>
      </c>
    </row>
    <row r="852" spans="1:26" ht="15" customHeight="1" x14ac:dyDescent="0.3">
      <c r="A852" s="429">
        <v>409699</v>
      </c>
      <c r="B852" s="427" t="s">
        <v>1715</v>
      </c>
      <c r="C852" s="425" t="str">
        <f t="shared" si="19"/>
        <v>4,8-kart. čierna</v>
      </c>
      <c r="D852" s="429">
        <v>409699</v>
      </c>
      <c r="E852" s="424" t="str">
        <f>+VLOOKUP(A852,cennik!A:G,2,FALSE)</f>
        <v>SEVROLL 20403-SV dorazová štetina zásuvná 4,8x4mm čierna</v>
      </c>
      <c r="F852" s="424" t="str">
        <f>+VLOOKUP(A852,cennik!A:B,2,FALSE)</f>
        <v>SEVROLL 20403-SV dorazová štetina zásuvná 4,8x4mm čierna</v>
      </c>
      <c r="G852" s="422"/>
      <c r="H852" s="422">
        <v>4.8</v>
      </c>
      <c r="I852" s="425" t="str">
        <f t="shared" si="20"/>
        <v>-kart. čierna</v>
      </c>
      <c r="Z852" s="1" t="b">
        <f t="shared" si="21"/>
        <v>1</v>
      </c>
    </row>
    <row r="853" spans="1:26" ht="15" customHeight="1" x14ac:dyDescent="0.3">
      <c r="A853" s="426">
        <v>305137</v>
      </c>
      <c r="B853" s="427" t="s">
        <v>1715</v>
      </c>
      <c r="C853" s="425" t="str">
        <f>CONCATENATE(H853,"-",J15)</f>
        <v>4,8-biela lesk</v>
      </c>
      <c r="D853" s="426">
        <v>305137</v>
      </c>
      <c r="E853" s="424" t="str">
        <f>+VLOOKUP(A853,cennik!A:G,2,FALSE)</f>
        <v>SEVROLL 20287-SV dorazová štetina zásuvná 4,8x4mm biela</v>
      </c>
      <c r="F853" s="424" t="str">
        <f>+VLOOKUP(A853,cennik!A:B,2,FALSE)</f>
        <v>SEVROLL 20287-SV dorazová štetina zásuvná 4,8x4mm biela</v>
      </c>
      <c r="G853" s="422"/>
      <c r="H853" s="422">
        <v>4.8</v>
      </c>
      <c r="I853" s="422" t="str">
        <f>J15</f>
        <v>biela lesk</v>
      </c>
      <c r="Z853" s="1" t="b">
        <f t="shared" si="21"/>
        <v>1</v>
      </c>
    </row>
    <row r="854" spans="1:26" ht="15" customHeight="1" x14ac:dyDescent="0.3">
      <c r="A854" s="426">
        <v>305137</v>
      </c>
      <c r="B854" s="427" t="s">
        <v>1715</v>
      </c>
      <c r="C854" s="425" t="str">
        <f>CONCATENATE(H854,"-",J18)</f>
        <v>4,8-biela mat</v>
      </c>
      <c r="D854" s="426">
        <v>305137</v>
      </c>
      <c r="E854" s="424" t="str">
        <f>+VLOOKUP(A854,cennik!A:G,2,FALSE)</f>
        <v>SEVROLL 20287-SV dorazová štetina zásuvná 4,8x4mm biela</v>
      </c>
      <c r="F854" s="424" t="str">
        <f>+VLOOKUP(A854,cennik!A:B,2,FALSE)</f>
        <v>SEVROLL 20287-SV dorazová štetina zásuvná 4,8x4mm biela</v>
      </c>
      <c r="G854" s="422"/>
      <c r="H854" s="422">
        <v>4.8</v>
      </c>
      <c r="I854" s="422" t="str">
        <f>J18</f>
        <v>biela mat</v>
      </c>
      <c r="Z854" s="1" t="b">
        <f t="shared" si="21"/>
        <v>1</v>
      </c>
    </row>
    <row r="855" spans="1:26" ht="15" customHeight="1" x14ac:dyDescent="0.3">
      <c r="A855" s="428">
        <v>409700</v>
      </c>
      <c r="B855" s="427" t="s">
        <v>1715</v>
      </c>
      <c r="C855" s="425" t="str">
        <f>CONCATENATE(H855,"-",J16)</f>
        <v>14,5-čierna lesk</v>
      </c>
      <c r="D855" s="428">
        <v>409700</v>
      </c>
      <c r="E855" s="424" t="str">
        <f>+VLOOKUP(A855,cennik!A:G,2,FALSE)</f>
        <v>SEVROLL 20334-SV dorazová štetina zásuvná 14x4mm čierna</v>
      </c>
      <c r="F855" s="424" t="str">
        <f>+VLOOKUP(A855,cennik!A:B,2,FALSE)</f>
        <v>SEVROLL 20334-SV dorazová štetina zásuvná 14x4mm čierna</v>
      </c>
      <c r="G855" s="422"/>
      <c r="H855" s="422">
        <v>14.5</v>
      </c>
      <c r="I855" s="422"/>
      <c r="Z855" s="1" t="b">
        <f t="shared" si="21"/>
        <v>1</v>
      </c>
    </row>
    <row r="856" spans="1:26" ht="15" customHeight="1" x14ac:dyDescent="0.3">
      <c r="A856" s="429">
        <v>409699</v>
      </c>
      <c r="B856" s="427" t="s">
        <v>1715</v>
      </c>
      <c r="C856" s="425" t="str">
        <f>CONCATENATE(H856,"-",J16)</f>
        <v>4,8-čierna lesk</v>
      </c>
      <c r="D856" s="429">
        <v>409699</v>
      </c>
      <c r="E856" s="424" t="str">
        <f>+VLOOKUP(A856,cennik!A:G,2,FALSE)</f>
        <v>SEVROLL 20403-SV dorazová štetina zásuvná 4,8x4mm čierna</v>
      </c>
      <c r="F856" s="424" t="str">
        <f>+VLOOKUP(A856,cennik!A:B,2,FALSE)</f>
        <v>SEVROLL 20403-SV dorazová štetina zásuvná 4,8x4mm čierna</v>
      </c>
      <c r="G856" s="422"/>
      <c r="H856" s="422">
        <v>4.8</v>
      </c>
      <c r="I856" s="422"/>
      <c r="Z856" s="1" t="b">
        <f t="shared" si="21"/>
        <v>1</v>
      </c>
    </row>
    <row r="857" spans="1:26" ht="15" customHeight="1" x14ac:dyDescent="0.3">
      <c r="A857" s="428">
        <v>409700</v>
      </c>
      <c r="B857" s="427" t="s">
        <v>1715</v>
      </c>
      <c r="C857" s="425" t="str">
        <f>CONCATENATE(H857,"-",J17)</f>
        <v>14,5-čierna mat</v>
      </c>
      <c r="D857" s="428">
        <v>409700</v>
      </c>
      <c r="E857" s="424" t="str">
        <f>+VLOOKUP(A857,cennik!A:G,2,FALSE)</f>
        <v>SEVROLL 20334-SV dorazová štetina zásuvná 14x4mm čierna</v>
      </c>
      <c r="F857" s="424" t="str">
        <f>+VLOOKUP(A857,cennik!A:B,2,FALSE)</f>
        <v>SEVROLL 20334-SV dorazová štetina zásuvná 14x4mm čierna</v>
      </c>
      <c r="G857" s="422"/>
      <c r="H857" s="422">
        <v>14.5</v>
      </c>
      <c r="I857" s="422"/>
      <c r="Z857" s="1" t="b">
        <f t="shared" si="21"/>
        <v>1</v>
      </c>
    </row>
    <row r="858" spans="1:26" ht="15" customHeight="1" x14ac:dyDescent="0.3">
      <c r="A858" s="428">
        <v>409700</v>
      </c>
      <c r="B858" s="427" t="s">
        <v>1715</v>
      </c>
      <c r="C858" s="425" t="str">
        <f>CONCATENATE(H858,"-",J12)</f>
        <v>14,5-grafit</v>
      </c>
      <c r="D858" s="428">
        <v>409700</v>
      </c>
      <c r="E858" s="424" t="str">
        <f>+VLOOKUP(A858,cennik!A:G,2,FALSE)</f>
        <v>SEVROLL 20334-SV dorazová štetina zásuvná 14x4mm čierna</v>
      </c>
      <c r="F858" s="424" t="str">
        <f>+VLOOKUP(A858,cennik!A:B,2,FALSE)</f>
        <v>SEVROLL 20334-SV dorazová štetina zásuvná 14x4mm čierna</v>
      </c>
      <c r="G858" s="422"/>
      <c r="H858" s="422">
        <v>14.5</v>
      </c>
      <c r="I858" s="422"/>
      <c r="Z858" s="1" t="b">
        <f t="shared" si="21"/>
        <v>1</v>
      </c>
    </row>
    <row r="859" spans="1:26" ht="15" customHeight="1" x14ac:dyDescent="0.3">
      <c r="A859" s="429">
        <v>409699</v>
      </c>
      <c r="B859" s="427" t="s">
        <v>1715</v>
      </c>
      <c r="C859" s="425" t="str">
        <f>CONCATENATE(H859,"-",J17)</f>
        <v>4,8-čierna mat</v>
      </c>
      <c r="D859" s="429">
        <v>409699</v>
      </c>
      <c r="E859" s="424" t="str">
        <f>+VLOOKUP(A859,cennik!A:G,2,FALSE)</f>
        <v>SEVROLL 20403-SV dorazová štetina zásuvná 4,8x4mm čierna</v>
      </c>
      <c r="F859" s="424" t="str">
        <f>+VLOOKUP(A859,cennik!A:B,2,FALSE)</f>
        <v>SEVROLL 20403-SV dorazová štetina zásuvná 4,8x4mm čierna</v>
      </c>
      <c r="G859" s="422"/>
      <c r="H859" s="422">
        <v>4.8</v>
      </c>
      <c r="I859" s="422"/>
      <c r="Z859" s="1" t="b">
        <f t="shared" si="21"/>
        <v>1</v>
      </c>
    </row>
    <row r="860" spans="1:26" ht="15" customHeight="1" x14ac:dyDescent="0.3">
      <c r="A860" s="429">
        <v>409699</v>
      </c>
      <c r="B860" s="427" t="s">
        <v>1715</v>
      </c>
      <c r="C860" s="425" t="str">
        <f>CONCATENATE(H860,"-",J12)</f>
        <v>4,8-grafit</v>
      </c>
      <c r="D860" s="429">
        <v>409699</v>
      </c>
      <c r="E860" s="424" t="str">
        <f>+VLOOKUP(A860,cennik!A:G,2,FALSE)</f>
        <v>SEVROLL 20403-SV dorazová štetina zásuvná 4,8x4mm čierna</v>
      </c>
      <c r="F860" s="424" t="str">
        <f>+VLOOKUP(A860,cennik!A:B,2,FALSE)</f>
        <v>SEVROLL 20403-SV dorazová štetina zásuvná 4,8x4mm čierna</v>
      </c>
      <c r="G860" s="422"/>
      <c r="H860" s="422">
        <v>4.8</v>
      </c>
      <c r="I860" s="422"/>
      <c r="Z860" s="1" t="b">
        <f t="shared" si="21"/>
        <v>1</v>
      </c>
    </row>
    <row r="861" spans="1:26" s="442" customFormat="1" ht="15" customHeight="1" x14ac:dyDescent="0.3">
      <c r="A861" s="426">
        <v>305137</v>
      </c>
      <c r="B861" s="427" t="s">
        <v>1715</v>
      </c>
      <c r="C861" s="425" t="str">
        <f>CONCATENATE(H861,"-",J18)</f>
        <v>4,8-biela mat</v>
      </c>
      <c r="D861" s="426">
        <v>305137</v>
      </c>
      <c r="E861" s="424" t="str">
        <f>+VLOOKUP(A861,cennik!A:G,2,FALSE)</f>
        <v>SEVROLL 20287-SV dorazová štetina zásuvná 4,8x4mm biela</v>
      </c>
      <c r="F861" s="424" t="str">
        <f>+VLOOKUP(A861,cennik!A:B,2,FALSE)</f>
        <v>SEVROLL 20287-SV dorazová štetina zásuvná 4,8x4mm biela</v>
      </c>
      <c r="G861" s="424" t="e">
        <f>+VLOOKUP(B861,cennik!B:C,2,FALSE)</f>
        <v>#N/A</v>
      </c>
      <c r="H861" s="422">
        <v>4.8</v>
      </c>
      <c r="I861" s="422" t="str">
        <f>J15</f>
        <v>biela lesk</v>
      </c>
      <c r="Z861" s="1" t="b">
        <f t="shared" si="21"/>
        <v>1</v>
      </c>
    </row>
    <row r="862" spans="1:26" s="442" customFormat="1" ht="15" customHeight="1" x14ac:dyDescent="0.3">
      <c r="A862" s="429">
        <v>409699</v>
      </c>
      <c r="B862" s="427" t="s">
        <v>1715</v>
      </c>
      <c r="C862" s="425" t="str">
        <f>CONCATENATE(H862,"-",J22)</f>
        <v>4,8-čierna štrukturálna</v>
      </c>
      <c r="D862" s="429">
        <v>409699</v>
      </c>
      <c r="E862" s="424" t="str">
        <f>+VLOOKUP(A862,cennik!A:G,2,FALSE)</f>
        <v>SEVROLL 20403-SV dorazová štetina zásuvná 4,8x4mm čierna</v>
      </c>
      <c r="F862" s="424" t="str">
        <f>+VLOOKUP(A862,cennik!A:B,2,FALSE)</f>
        <v>SEVROLL 20403-SV dorazová štetina zásuvná 4,8x4mm čierna</v>
      </c>
      <c r="G862" s="422"/>
      <c r="H862" s="422">
        <v>4.8</v>
      </c>
      <c r="I862" s="422" t="str">
        <f>J22</f>
        <v>čierna štrukturálna</v>
      </c>
      <c r="Z862" s="1"/>
    </row>
    <row r="863" spans="1:26" s="442" customFormat="1" ht="15" customHeight="1" x14ac:dyDescent="0.3">
      <c r="A863" s="428">
        <v>409700</v>
      </c>
      <c r="B863" s="427" t="s">
        <v>1715</v>
      </c>
      <c r="C863" s="425" t="str">
        <f>CONCATENATE(H863,"-",J22)</f>
        <v>14,5-čierna štrukturálna</v>
      </c>
      <c r="D863" s="428">
        <v>409700</v>
      </c>
      <c r="E863" s="424" t="str">
        <f>+VLOOKUP(A863,cennik!A:G,2,FALSE)</f>
        <v>SEVROLL 20334-SV dorazová štetina zásuvná 14x4mm čierna</v>
      </c>
      <c r="F863" s="424" t="str">
        <f>+VLOOKUP(A863,cennik!A:B,2,FALSE)</f>
        <v>SEVROLL 20334-SV dorazová štetina zásuvná 14x4mm čierna</v>
      </c>
      <c r="G863" s="422"/>
      <c r="H863" s="422">
        <v>14.5</v>
      </c>
      <c r="I863" s="422" t="str">
        <f>J22</f>
        <v>čierna štrukturálna</v>
      </c>
      <c r="Z863" s="1"/>
    </row>
    <row r="864" spans="1:26" s="442" customFormat="1" ht="15" customHeight="1" x14ac:dyDescent="0.3">
      <c r="A864" s="430">
        <v>452604</v>
      </c>
      <c r="B864" s="430"/>
      <c r="C864" s="430" t="str">
        <f>CONCATENATE(H864,"-",J17)</f>
        <v>3000-čierna mat</v>
      </c>
      <c r="D864" s="430">
        <v>452604</v>
      </c>
      <c r="E864" s="431" t="str">
        <f>+VLOOKUP(A864,cennik!A:G,2,FALSE)</f>
        <v>SEVROLL 03606 spojovacia lišta H30 decor 3m čierna mat</v>
      </c>
      <c r="F864" s="431" t="str">
        <f>+VLOOKUP(A864,cennik!A:B,2,FALSE)</f>
        <v>SEVROLL 03606 spojovacia lišta H30 decor 3m čierna mat</v>
      </c>
      <c r="G864" s="430"/>
      <c r="H864" s="430">
        <v>3000</v>
      </c>
      <c r="I864" s="430" t="str">
        <f>CONCATENATE(H864,"-",J17)</f>
        <v>3000-čierna mat</v>
      </c>
      <c r="Z864" s="1" t="b">
        <f t="shared" si="21"/>
        <v>1</v>
      </c>
    </row>
    <row r="865" spans="1:26" s="442" customFormat="1" ht="15" customHeight="1" x14ac:dyDescent="0.3">
      <c r="A865" s="1">
        <v>278164</v>
      </c>
      <c r="B865" s="1"/>
      <c r="C865" s="1" t="str">
        <f>CONCATENATE(H865,"-",J17)</f>
        <v>2700-čierna mat</v>
      </c>
      <c r="D865" s="1">
        <v>278164</v>
      </c>
      <c r="E865" s="48" t="str">
        <f>+VLOOKUP(A865,cennik!A:G,2,FALSE)</f>
        <v>SEVROLL 03607 Gemini úchytová lišta 2,7m čierna mat</v>
      </c>
      <c r="F865" s="48" t="str">
        <f>+VLOOKUP(A865,cennik!A:B,2,FALSE)</f>
        <v>SEVROLL 03607 Gemini úchytová lišta 2,7m čierna mat</v>
      </c>
      <c r="G865" s="1"/>
      <c r="H865" s="1">
        <v>2700</v>
      </c>
      <c r="I865" s="1" t="str">
        <f>CONCATENATE(H865,"-",J17)</f>
        <v>2700-čierna mat</v>
      </c>
      <c r="Z865" s="1" t="b">
        <f t="shared" si="21"/>
        <v>1</v>
      </c>
    </row>
    <row r="866" spans="1:26" s="442" customFormat="1" ht="15" customHeight="1" x14ac:dyDescent="0.3">
      <c r="A866" s="1">
        <v>409674</v>
      </c>
      <c r="B866" s="1"/>
      <c r="C866" s="1" t="str">
        <f>CONCATENATE(H866,"-",J17)</f>
        <v>4050-čierna mat</v>
      </c>
      <c r="D866" s="1">
        <v>409674</v>
      </c>
      <c r="E866" s="48" t="str">
        <f>+VLOOKUP(A866,cennik!A:G,2,FALSE)</f>
        <v>SEVROLL 04835 Gemini horné vedenie  4,05m čierna mat</v>
      </c>
      <c r="F866" s="48" t="str">
        <f>+VLOOKUP(A866,cennik!A:B,2,FALSE)</f>
        <v>SEVROLL 04835 Gemini horné vedenie  4,05m čierna mat</v>
      </c>
      <c r="G866" s="1"/>
      <c r="H866" s="1">
        <v>4050</v>
      </c>
      <c r="I866" s="1" t="str">
        <f>CONCATENATE(H866,"-",J17)</f>
        <v>4050-čierna mat</v>
      </c>
      <c r="Z866" s="1" t="b">
        <f t="shared" si="21"/>
        <v>1</v>
      </c>
    </row>
    <row r="867" spans="1:26" s="442" customFormat="1" ht="15" customHeight="1" x14ac:dyDescent="0.3">
      <c r="A867" s="1">
        <v>452601</v>
      </c>
      <c r="B867" s="1"/>
      <c r="C867" s="1" t="str">
        <f>CONCATENATE(H867,"-",J17)</f>
        <v>2700-čierna mat</v>
      </c>
      <c r="D867" s="1">
        <v>452601</v>
      </c>
      <c r="E867" s="48" t="str">
        <f>+VLOOKUP(A867,cennik!A:G,2,FALSE)</f>
        <v>SEVROLL 05306 Faworyt II úchytová lišta 2,7m čierna mat</v>
      </c>
      <c r="F867" s="48" t="str">
        <f>+VLOOKUP(A867,cennik!A:B,2,FALSE)</f>
        <v>SEVROLL 05306 Faworyt II úchytová lišta 2,7m čierna mat</v>
      </c>
      <c r="G867" s="1"/>
      <c r="H867" s="1">
        <v>2700</v>
      </c>
      <c r="I867" s="1" t="str">
        <f>CONCATENATE(H867,"-",J17)</f>
        <v>2700-čierna mat</v>
      </c>
      <c r="Z867" s="1" t="b">
        <f t="shared" si="21"/>
        <v>1</v>
      </c>
    </row>
    <row r="868" spans="1:26" s="442" customFormat="1" ht="15" customHeight="1" x14ac:dyDescent="0.3">
      <c r="A868" s="2">
        <v>452735</v>
      </c>
      <c r="B868" s="1"/>
      <c r="C868" s="1" t="str">
        <f>CONCATENATE(H868,"-",J17)</f>
        <v>3000-čierna mat</v>
      </c>
      <c r="D868" s="2">
        <v>452735</v>
      </c>
      <c r="E868" s="434" t="str">
        <f>+VLOOKUP(A868,cennik!A:G,2,FALSE)</f>
        <v>SEVROLL 05324 Pax horná vodiaca lišta 3m čierna mat</v>
      </c>
      <c r="F868" s="48" t="str">
        <f>+VLOOKUP(A868,cennik!A:B,2,FALSE)</f>
        <v>SEVROLL 05324 Pax horná vodiaca lišta 3m čierna mat</v>
      </c>
      <c r="G868" s="1"/>
      <c r="H868" s="1">
        <v>3000</v>
      </c>
      <c r="I868" s="1" t="str">
        <f>CONCATENATE(H868,"-",J17)</f>
        <v>3000-čierna mat</v>
      </c>
      <c r="Z868" s="1" t="b">
        <f t="shared" si="21"/>
        <v>1</v>
      </c>
    </row>
    <row r="869" spans="1:26" s="442" customFormat="1" ht="15" customHeight="1" x14ac:dyDescent="0.3">
      <c r="A869" s="2">
        <v>456332</v>
      </c>
      <c r="B869" s="1"/>
      <c r="C869" s="1" t="str">
        <f>CONCATENATE(H869,"-",J17)</f>
        <v>2700-čierna mat</v>
      </c>
      <c r="D869" s="2">
        <v>456332</v>
      </c>
      <c r="E869" s="48" t="str">
        <f>+VLOOKUP(A869,cennik!A:G,2,FALSE)</f>
        <v>SEVROLL 05325 Pax úchytová lišta 2,7m čierna mat</v>
      </c>
      <c r="F869" s="48" t="str">
        <f>+VLOOKUP(A869,cennik!A:B,2,FALSE)</f>
        <v>SEVROLL 05325 Pax úchytová lišta 2,7m čierna mat</v>
      </c>
      <c r="G869" s="1"/>
      <c r="H869" s="1">
        <v>2700</v>
      </c>
      <c r="I869" s="1" t="str">
        <f>CONCATENATE(H869,"-",J17)</f>
        <v>2700-čierna mat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3000-čierna mat</v>
      </c>
      <c r="D870" s="2">
        <v>456333</v>
      </c>
      <c r="E870" s="48" t="str">
        <f>+VLOOKUP(A870,cennik!A:G,2,FALSE)</f>
        <v>SEVROLL 05326 Pax úchytová lišta 3m čierna mat</v>
      </c>
      <c r="F870" s="48" t="str">
        <f>+VLOOKUP(A870,cennik!A:B,2,FALSE)</f>
        <v>SEVROLL 05326 Pax úchytová lišta 3m čierna mat</v>
      </c>
      <c r="H870" s="1">
        <v>3000</v>
      </c>
      <c r="I870" s="1" t="str">
        <f>CONCATENATE(H870,"-",J17)</f>
        <v>3000-čierna mat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-čierna mat</v>
      </c>
      <c r="D871" s="1">
        <v>422012</v>
      </c>
      <c r="E871" s="48" t="str">
        <f>+VLOOKUP(A871,cennik!A:G,2,FALSE)</f>
        <v>SEVROLL 05327 Pax záslepka profilu (4 ks) čierna mat</v>
      </c>
      <c r="F871" s="48" t="str">
        <f>+VLOOKUP(A871,cennik!A:B,2,FALSE)</f>
        <v>SEVROLL 05327 Pax záslepka profilu (4 ks) čierna mat</v>
      </c>
      <c r="I871" s="1" t="str">
        <f>CONCATENATE(H871,"-",J17)</f>
        <v>-čierna mat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3000-čierna mat</v>
      </c>
      <c r="D872" s="1">
        <v>452606</v>
      </c>
      <c r="E872" s="48" t="str">
        <f>+VLOOKUP(A872,cennik!A:G,2,FALSE)</f>
        <v>SEVROLL 05341 dištančný profil 04 3m čierna mat</v>
      </c>
      <c r="F872" s="48" t="str">
        <f>+VLOOKUP(A872,cennik!A:B,2,FALSE)</f>
        <v>SEVROLL 05341 dištančný profil 04 3m čierna mat</v>
      </c>
      <c r="H872" s="1">
        <v>3000</v>
      </c>
      <c r="I872" s="1" t="str">
        <f>CONCATENATE(H872,"-",J17)</f>
        <v>3000-čierna mat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-čierna mat</v>
      </c>
      <c r="D873" s="1">
        <v>422009</v>
      </c>
      <c r="E873" s="48" t="str">
        <f>+VLOOKUP(A873,cennik!A:G,2,FALSE)</f>
        <v>SEVROLL 20406 Pax nalepovacia úchytka čierna mat</v>
      </c>
      <c r="F873" s="48" t="str">
        <f>+VLOOKUP(A873,cennik!A:B,2,FALSE)</f>
        <v>SEVROLL 20406 Pax nalepovacia úchytka čierna mat</v>
      </c>
      <c r="I873" s="1" t="str">
        <f>CONCATENATE(H873,"-",J17)</f>
        <v>-čierna mat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3000-čierna mat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3000-čierna mat</v>
      </c>
      <c r="Z874" s="1" t="b">
        <f t="shared" si="21"/>
        <v>1</v>
      </c>
    </row>
    <row r="875" spans="1:26" ht="15" customHeight="1" x14ac:dyDescent="0.3">
      <c r="A875" s="441">
        <v>276731</v>
      </c>
      <c r="B875" s="442"/>
      <c r="C875" s="442" t="str">
        <f>CONCATENATE(H875,"-",J18)</f>
        <v>3000-biela mat</v>
      </c>
      <c r="D875" s="441">
        <v>276731</v>
      </c>
      <c r="E875" s="443" t="str">
        <f>+VLOOKUP(A875,cennik!A:G,2,FALSE)</f>
        <v>SEVROLL 04066 uholník Mini 17x11mm 3m biela mat</v>
      </c>
      <c r="F875" s="443" t="str">
        <f>+VLOOKUP(A875,cennik!A:B,2,FALSE)</f>
        <v>SEVROLL 04066 uholník Mini 17x11mm 3m biela mat</v>
      </c>
      <c r="G875" s="442"/>
      <c r="H875" s="442">
        <v>3000</v>
      </c>
      <c r="I875" s="442" t="str">
        <f>CONCATENATE(H875,"-",J18)</f>
        <v>3000-biela mat</v>
      </c>
      <c r="Z875" s="1" t="b">
        <f t="shared" si="21"/>
        <v>1</v>
      </c>
    </row>
    <row r="876" spans="1:26" s="439" customFormat="1" ht="15" customHeight="1" x14ac:dyDescent="0.3">
      <c r="A876" s="441">
        <v>276742</v>
      </c>
      <c r="B876" s="442"/>
      <c r="C876" s="442" t="str">
        <f>CONCATENATE(H876,"-",J18)</f>
        <v>2700-biela mat</v>
      </c>
      <c r="D876" s="441">
        <v>276742</v>
      </c>
      <c r="E876" s="443" t="str">
        <f>+VLOOKUP(A876,cennik!A:G,2,FALSE)</f>
        <v>SEVROLL 04556 Faworyt II úchytová lišta 2,7m biela mat</v>
      </c>
      <c r="F876" s="443" t="str">
        <f>+VLOOKUP(A876,cennik!A:B,2,FALSE)</f>
        <v>SEVROLL 04556 Faworyt II úchytová lišta 2,7m biela mat</v>
      </c>
      <c r="G876" s="442"/>
      <c r="H876" s="442">
        <v>2700</v>
      </c>
      <c r="I876" s="442" t="str">
        <f>CONCATENATE(H876,"-",J18)</f>
        <v>2700-biela mat</v>
      </c>
      <c r="Z876" s="1" t="b">
        <f t="shared" si="21"/>
        <v>1</v>
      </c>
    </row>
    <row r="877" spans="1:26" s="439" customFormat="1" ht="15" customHeight="1" x14ac:dyDescent="0.3">
      <c r="A877" s="441">
        <v>394791</v>
      </c>
      <c r="B877" s="442"/>
      <c r="C877" s="442" t="str">
        <f>CONCATENATE(H877,"-",J18)</f>
        <v>2700-biela mat</v>
      </c>
      <c r="D877" s="441">
        <v>394791</v>
      </c>
      <c r="E877" s="443" t="str">
        <f>+VLOOKUP(A877,cennik!A:G,2,FALSE)</f>
        <v>SEVROLL 05153 Alfa II úchytová lišta 18mm 2,7m biela mat</v>
      </c>
      <c r="F877" s="443" t="str">
        <f>+VLOOKUP(A877,cennik!A:B,2,FALSE)</f>
        <v>SEVROLL 05153 Alfa II úchytová lišta 18mm 2,7m biela mat</v>
      </c>
      <c r="G877" s="442"/>
      <c r="H877" s="442">
        <v>2700</v>
      </c>
      <c r="I877" s="442" t="str">
        <f>CONCATENATE(H877,"-",J18)</f>
        <v>2700-biela mat</v>
      </c>
      <c r="Z877" s="1" t="b">
        <f t="shared" si="21"/>
        <v>1</v>
      </c>
    </row>
    <row r="878" spans="1:26" s="439" customFormat="1" ht="15" customHeight="1" x14ac:dyDescent="0.3">
      <c r="A878" s="441">
        <v>406464</v>
      </c>
      <c r="B878" s="442"/>
      <c r="C878" s="442" t="str">
        <f>CONCATENATE(H878,"-",J18)</f>
        <v>3000-biela mat</v>
      </c>
      <c r="D878" s="441">
        <v>406464</v>
      </c>
      <c r="E878" s="443" t="str">
        <f>+VLOOKUP(A878,cennik!A:G,2,FALSE)</f>
        <v>SEVROLL 05291 profil "U" pre lamino 18mm 3m biela mat</v>
      </c>
      <c r="F878" s="443" t="str">
        <f>+VLOOKUP(A878,cennik!A:B,2,FALSE)</f>
        <v>SEVROLL 05291 profil "U" pre lamino 18mm 3m biela mat</v>
      </c>
      <c r="G878" s="442"/>
      <c r="H878" s="442">
        <v>3000</v>
      </c>
      <c r="I878" s="442" t="str">
        <f>CONCATENATE(H878,"-",J18)</f>
        <v>3000-biela mat</v>
      </c>
      <c r="Z878" s="1" t="b">
        <f t="shared" si="21"/>
        <v>1</v>
      </c>
    </row>
    <row r="879" spans="1:26" s="439" customFormat="1" ht="15" customHeight="1" x14ac:dyDescent="0.3">
      <c r="A879" s="439">
        <v>372603</v>
      </c>
      <c r="C879" s="439" t="str">
        <f>CONCATENATE(H879,"-",J15)</f>
        <v>2700-biela lesk</v>
      </c>
      <c r="D879" s="439">
        <v>372603</v>
      </c>
      <c r="E879" s="437" t="str">
        <f>+VLOOKUP(A879,cennik!A:G,2,FALSE)</f>
        <v>SEVROLL 04933 Era úchytová lišta 18mm 2,70m biely lesk</v>
      </c>
      <c r="F879" s="437" t="str">
        <f>+VLOOKUP(A879,cennik!A:B,2,FALSE)</f>
        <v>SEVROLL 04933 Era úchytová lišta 18mm 2,70m biely lesk</v>
      </c>
      <c r="H879" s="439">
        <v>2700</v>
      </c>
      <c r="I879" s="439" t="str">
        <f>CONCATENATE(H879,"-",J15)</f>
        <v>2700-biela lesk</v>
      </c>
      <c r="Z879" s="1" t="b">
        <f t="shared" si="21"/>
        <v>1</v>
      </c>
    </row>
    <row r="880" spans="1:26" s="439" customFormat="1" ht="15" customHeight="1" x14ac:dyDescent="0.3">
      <c r="A880" s="439">
        <v>394231</v>
      </c>
      <c r="C880" s="439" t="str">
        <f>CONCATENATE(H880,"-",J15)</f>
        <v>2000-biela lesk</v>
      </c>
      <c r="D880" s="439">
        <v>394231</v>
      </c>
      <c r="E880" s="437" t="str">
        <f>+VLOOKUP(A880,cennik!A:G,2,FALSE)</f>
        <v>SEVROLL 04940 spodná krycia lišta Simple/Blue 2m (pre lamino 18mm) biely lesk</v>
      </c>
      <c r="F880" s="437" t="str">
        <f>+VLOOKUP(A880,cennik!A:B,2,FALSE)</f>
        <v>SEVROLL 04940 spodná krycia lišta Simple/Blue 2m (pre lamino 18mm) biely lesk</v>
      </c>
      <c r="H880" s="439">
        <v>2000</v>
      </c>
      <c r="I880" s="439" t="str">
        <f>CONCATENATE(H880,"-",J15)</f>
        <v>2000-biela lesk</v>
      </c>
      <c r="Z880" s="1" t="b">
        <f t="shared" si="21"/>
        <v>1</v>
      </c>
    </row>
    <row r="881" spans="1:26" s="439" customFormat="1" ht="15" customHeight="1" x14ac:dyDescent="0.3">
      <c r="A881" s="439">
        <v>394265</v>
      </c>
      <c r="C881" s="439" t="str">
        <f>CONCATENATE(H881,"-",J15)</f>
        <v>3000-biela lesk</v>
      </c>
      <c r="D881" s="439">
        <v>394265</v>
      </c>
      <c r="E881" s="437" t="str">
        <f>+VLOOKUP(A881,cennik!A:G,2,FALSE)</f>
        <v>SEVROLL 04941 spodná krycia lišta Simple/Blue 3m (pre lamino 18mm) biely lesk</v>
      </c>
      <c r="F881" s="437" t="str">
        <f>+VLOOKUP(A881,cennik!A:B,2,FALSE)</f>
        <v>SEVROLL 04941 spodná krycia lišta Simple/Blue 3m (pre lamino 18mm) biely lesk</v>
      </c>
      <c r="H881" s="439">
        <v>3000</v>
      </c>
      <c r="I881" s="439" t="str">
        <f>CONCATENATE(H881,"-",J15)</f>
        <v>3000-biela lesk</v>
      </c>
      <c r="Z881" s="1" t="b">
        <f t="shared" si="21"/>
        <v>1</v>
      </c>
    </row>
    <row r="882" spans="1:26" s="439" customFormat="1" ht="15" customHeight="1" x14ac:dyDescent="0.3">
      <c r="A882" s="439">
        <v>394267</v>
      </c>
      <c r="C882" s="439" t="str">
        <f>CONCATENATE(H882,"-",J15)</f>
        <v>2000-biela lesk</v>
      </c>
      <c r="D882" s="439">
        <v>394267</v>
      </c>
      <c r="E882" s="437" t="str">
        <f>+VLOOKUP(A882,cennik!A:G,2,FALSE)</f>
        <v>SEVROLL 04942 horná vodiaca lišta Simple/Blue 2m (pre lamino 18mm) biely lesk</v>
      </c>
      <c r="F882" s="437" t="str">
        <f>+VLOOKUP(A882,cennik!A:B,2,FALSE)</f>
        <v>SEVROLL 04942 horná vodiaca lišta Simple/Blue 2m (pre lamino 18mm) biely lesk</v>
      </c>
      <c r="H882" s="439">
        <v>2000</v>
      </c>
      <c r="I882" s="439" t="str">
        <f>CONCATENATE(H882,"-",J15)</f>
        <v>2000-biela lesk</v>
      </c>
      <c r="Z882" s="1" t="b">
        <f t="shared" si="21"/>
        <v>1</v>
      </c>
    </row>
    <row r="883" spans="1:26" ht="15" customHeight="1" x14ac:dyDescent="0.3">
      <c r="A883" s="439">
        <v>394270</v>
      </c>
      <c r="B883" s="439"/>
      <c r="C883" s="439" t="str">
        <f>CONCATENATE(H883,"-",J15)</f>
        <v>3000-biela lesk</v>
      </c>
      <c r="D883" s="439">
        <v>394270</v>
      </c>
      <c r="E883" s="437" t="str">
        <f>+VLOOKUP(A883,cennik!A:G,2,FALSE)</f>
        <v>SEVROLL 04943 horná vodiaca lišta Simple/Blue 3m (pre lamino 18mm) biely lesk</v>
      </c>
      <c r="F883" s="437" t="str">
        <f>+VLOOKUP(A883,cennik!A:B,2,FALSE)</f>
        <v>SEVROLL 04943 horná vodiaca lišta Simple/Blue 3m (pre lamino 18mm) biely lesk</v>
      </c>
      <c r="G883" s="439"/>
      <c r="H883" s="439">
        <v>3000</v>
      </c>
      <c r="I883" s="439" t="str">
        <f>CONCATENATE(H883,"-",J15)</f>
        <v>3000-biela lesk</v>
      </c>
      <c r="Z883" s="1" t="b">
        <f t="shared" si="21"/>
        <v>1</v>
      </c>
    </row>
    <row r="884" spans="1:26" ht="15" customHeight="1" x14ac:dyDescent="0.3">
      <c r="A884" s="439">
        <v>394273</v>
      </c>
      <c r="B884" s="439"/>
      <c r="C884" s="439" t="str">
        <f>CONCATENATE(H884,"-",J15)</f>
        <v>3000-biela lesk</v>
      </c>
      <c r="D884" s="439">
        <v>394273</v>
      </c>
      <c r="E884" s="437" t="str">
        <f>+VLOOKUP(A884,cennik!A:G,2,FALSE)</f>
        <v>SEVROLL 04929 spojovacia lišta Simple/Blue H21 3m (pre lamino 18mm) biely lesk</v>
      </c>
      <c r="F884" s="437" t="str">
        <f>+VLOOKUP(A884,cennik!A:B,2,FALSE)</f>
        <v>SEVROLL 04929 spojovacia lišta Simple/Blue H21 3m (pre lamino 18mm) biely lesk</v>
      </c>
      <c r="G884" s="439"/>
      <c r="H884" s="439">
        <v>3000</v>
      </c>
      <c r="I884" s="439" t="str">
        <f>CONCATENATE(H884,"-",J15)</f>
        <v>3000-biela lesk</v>
      </c>
      <c r="Z884" s="1" t="b">
        <f t="shared" si="21"/>
        <v>1</v>
      </c>
    </row>
    <row r="885" spans="1:26" ht="15" customHeight="1" x14ac:dyDescent="0.3">
      <c r="A885" s="439">
        <v>394281</v>
      </c>
      <c r="B885" s="439"/>
      <c r="C885" s="439" t="str">
        <f>CONCATENATE(H885,"-",J15)</f>
        <v>3000-biela lesk</v>
      </c>
      <c r="D885" s="439">
        <v>394281</v>
      </c>
      <c r="E885" s="437" t="str">
        <f>+VLOOKUP(A885,cennik!A:G,2,FALSE)</f>
        <v>SEVROLL 04932 spojovacia lišta Simple/Blue H28 3m (pre lamino 18mm) biely lesk</v>
      </c>
      <c r="F885" s="437" t="str">
        <f>+VLOOKUP(A885,cennik!A:B,2,FALSE)</f>
        <v>SEVROLL 04932 spojovacia lišta Simple/Blue H28 3m (pre lamino 18mm) biely lesk</v>
      </c>
      <c r="G885" s="439"/>
      <c r="H885" s="439">
        <v>3000</v>
      </c>
      <c r="I885" s="439" t="str">
        <f>CONCATENATE(H885,"-",J15)</f>
        <v>3000-biela lesk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oliva</v>
      </c>
      <c r="D886" s="1">
        <v>489291</v>
      </c>
      <c r="E886" s="437" t="str">
        <f>+VLOOKUP(A886,cennik!A:G,2,FALSE)</f>
        <v>SEVROLL 05791 Prosper GM 18 úch lišta 2 7m oliva</v>
      </c>
      <c r="F886" s="437" t="str">
        <f>+VLOOKUP(A886,cennik!A:B,2,FALSE)</f>
        <v>SEVROLL 05791 Prosper GM 18 úch lišta 2 7m oliva</v>
      </c>
      <c r="I886" s="1" t="str">
        <f>J6</f>
        <v>oliva</v>
      </c>
    </row>
    <row r="887" spans="1:26" ht="15" customHeight="1" x14ac:dyDescent="0.3">
      <c r="A887" s="1">
        <v>489290</v>
      </c>
      <c r="C887" s="1" t="str">
        <f>J4</f>
        <v xml:space="preserve">strieborná </v>
      </c>
      <c r="D887" s="1">
        <v>489290</v>
      </c>
      <c r="E887" s="437" t="str">
        <f>+VLOOKUP(A887,cennik!A:G,2,FALSE)</f>
        <v>SEVROLL 05790 Prosper GM 18 úch.lišta 2,7m strieborná</v>
      </c>
      <c r="F887" s="437" t="str">
        <f>+VLOOKUP(A887,cennik!A:B,2,FALSE)</f>
        <v>SEVROLL 05790 Prosper GM 18 úch.lišta 2,7m strieborná</v>
      </c>
      <c r="I887" s="1" t="str">
        <f>J4</f>
        <v xml:space="preserve">strieborná </v>
      </c>
    </row>
    <row r="888" spans="1:26" ht="15" customHeight="1" x14ac:dyDescent="0.3">
      <c r="A888" s="1">
        <v>496942</v>
      </c>
      <c r="C888" s="1" t="str">
        <f>J4</f>
        <v xml:space="preserve">strieborná </v>
      </c>
      <c r="D888" s="1">
        <v>496942</v>
      </c>
      <c r="E888" s="437" t="str">
        <f>+VLOOKUP(A888,cennik!A:G,2,FALSE)</f>
        <v>SEVROLL 05804 GM 18 SPOJ.LIŠTA H18 3m str.</v>
      </c>
      <c r="F888" s="437" t="str">
        <f>+VLOOKUP(A888,cennik!A:B,2,FALSE)</f>
        <v>SEVROLL 05804 GM 18 SPOJ.LIŠTA H18 3m str.</v>
      </c>
      <c r="I888" s="1" t="str">
        <f>J4</f>
        <v xml:space="preserve">strieborná </v>
      </c>
    </row>
    <row r="889" spans="1:26" ht="15" customHeight="1" x14ac:dyDescent="0.3">
      <c r="A889" s="1">
        <v>496987</v>
      </c>
      <c r="C889" s="1" t="str">
        <f>J17</f>
        <v>čierna mat</v>
      </c>
      <c r="D889" s="1">
        <v>496987</v>
      </c>
      <c r="E889" s="437" t="str">
        <f>+VLOOKUP(A889,cennik!A:G,2,FALSE)</f>
        <v>SEVROLL 05924 GM 18 spojovacia lišta H18 3m čierna mat</v>
      </c>
      <c r="F889" s="437" t="str">
        <f>+VLOOKUP(A889,cennik!A:B,2,FALSE)</f>
        <v>SEVROLL 05924 GM 18 spojovacia lišta H18 3m čierna mat</v>
      </c>
      <c r="I889" s="1" t="str">
        <f>J17</f>
        <v>čierna mat</v>
      </c>
    </row>
    <row r="890" spans="1:26" ht="15" customHeight="1" x14ac:dyDescent="0.3">
      <c r="A890" s="1">
        <v>496986</v>
      </c>
      <c r="C890" s="1" t="str">
        <f>J6</f>
        <v>oliva</v>
      </c>
      <c r="D890" s="1">
        <v>496986</v>
      </c>
      <c r="E890" s="437" t="str">
        <f>+VLOOKUP(A890,cennik!A:G,2,FALSE)</f>
        <v>SEVROLL 05805 GM 18 spojovacia lišta H18 3m oliva</v>
      </c>
      <c r="F890" s="437" t="str">
        <f>+VLOOKUP(A890,cennik!A:B,2,FALSE)</f>
        <v>SEVROLL 05805 GM 18 spojovacia lišta H18 3m oliva</v>
      </c>
      <c r="I890" s="1" t="str">
        <f>J6</f>
        <v>oliva</v>
      </c>
    </row>
    <row r="891" spans="1:26" ht="15" customHeight="1" x14ac:dyDescent="0.3">
      <c r="A891" s="1">
        <v>496924</v>
      </c>
      <c r="C891" s="1" t="str">
        <f>J4</f>
        <v xml:space="preserve">strieborná </v>
      </c>
      <c r="D891" s="1">
        <v>496924</v>
      </c>
      <c r="E891" s="437" t="str">
        <f>+VLOOKUP(A891,cennik!A:G,2,FALSE)</f>
        <v>SEVROLL 05806 GM 18 SPOJ.LIŠTA H25 3m str.</v>
      </c>
      <c r="F891" s="437" t="str">
        <f>+VLOOKUP(A891,cennik!A:B,2,FALSE)</f>
        <v>SEVROLL 05806 GM 18 SPOJ.LIŠTA H25 3m str.</v>
      </c>
      <c r="I891" s="1" t="str">
        <f>J4</f>
        <v xml:space="preserve">strieborná </v>
      </c>
    </row>
    <row r="892" spans="1:26" ht="15" customHeight="1" x14ac:dyDescent="0.3">
      <c r="A892" s="1">
        <v>496996</v>
      </c>
      <c r="C892" s="1" t="str">
        <f>J17</f>
        <v>čierna mat</v>
      </c>
      <c r="D892" s="1">
        <v>496996</v>
      </c>
      <c r="E892" s="437" t="str">
        <f>+VLOOKUP(A892,cennik!A:G,2,FALSE)</f>
        <v>SEVROLL 05926 GM 18 spojovacia lišta H25 3m čierna mat</v>
      </c>
      <c r="F892" s="437" t="str">
        <f>+VLOOKUP(A892,cennik!A:B,2,FALSE)</f>
        <v>SEVROLL 05926 GM 18 spojovacia lišta H25 3m čierna mat</v>
      </c>
      <c r="I892" s="1" t="str">
        <f>J17</f>
        <v>čierna mat</v>
      </c>
    </row>
    <row r="893" spans="1:26" ht="15" customHeight="1" x14ac:dyDescent="0.3">
      <c r="A893" s="1">
        <v>496990</v>
      </c>
      <c r="C893" s="1" t="str">
        <f>J6</f>
        <v>oliva</v>
      </c>
      <c r="D893" s="1">
        <v>496990</v>
      </c>
      <c r="E893" s="437" t="str">
        <f>+VLOOKUP(A893,cennik!A:G,2,FALSE)</f>
        <v>SEVROLL 05807 GM 18 spojovacia lišta H25 3m oliva</v>
      </c>
      <c r="F893" s="437" t="str">
        <f>+VLOOKUP(A893,cennik!A:B,2,FALSE)</f>
        <v>SEVROLL 05807 GM 18 spojovacia lišta H25 3m oliva</v>
      </c>
      <c r="I893" s="1" t="str">
        <f>J6</f>
        <v>oliva</v>
      </c>
    </row>
    <row r="894" spans="1:26" ht="15" customHeight="1" x14ac:dyDescent="0.3">
      <c r="A894" s="2">
        <v>489293</v>
      </c>
      <c r="C894" s="1" t="str">
        <f>J6</f>
        <v>oliva</v>
      </c>
      <c r="D894" s="2">
        <v>489293</v>
      </c>
      <c r="E894" s="437" t="str">
        <f>+VLOOKUP(A894,cennik!A:G,2,FALSE)</f>
        <v>SEVROLL 05789 Arte GM 18 úch.lišta 2,7m oliva</v>
      </c>
      <c r="F894" s="437" t="str">
        <f>+VLOOKUP(A894,cennik!A:B,2,FALSE)</f>
        <v>SEVROLL 05789 Arte GM 18 úch.lišta 2,7m oliva</v>
      </c>
      <c r="H894" s="1">
        <v>2700</v>
      </c>
      <c r="I894" s="1" t="str">
        <f>J6</f>
        <v>oliva</v>
      </c>
    </row>
    <row r="895" spans="1:26" ht="15" customHeight="1" x14ac:dyDescent="0.3">
      <c r="A895" s="2">
        <v>489292</v>
      </c>
      <c r="C895" s="1" t="str">
        <f>J4</f>
        <v xml:space="preserve">strieborná </v>
      </c>
      <c r="D895" s="2">
        <v>489292</v>
      </c>
      <c r="E895" s="437" t="str">
        <f>+VLOOKUP(A895,cennik!A:G,2,FALSE)</f>
        <v>SEVROLL 05788 Arte GM 18 úch.lišta 2,7m strieborná</v>
      </c>
      <c r="F895" s="437" t="str">
        <f>+VLOOKUP(A895,cennik!A:B,2,FALSE)</f>
        <v>SEVROLL 05788 Arte GM 18 úch.lišta 2,7m strieborná</v>
      </c>
      <c r="H895" s="1">
        <v>2700</v>
      </c>
      <c r="I895" s="1" t="str">
        <f>J4</f>
        <v xml:space="preserve">strieborná </v>
      </c>
    </row>
    <row r="896" spans="1:26" ht="15" customHeight="1" x14ac:dyDescent="0.3">
      <c r="A896" s="1">
        <v>489294</v>
      </c>
      <c r="C896" s="1" t="str">
        <f>J17</f>
        <v>čierna mat</v>
      </c>
      <c r="D896" s="1">
        <v>489294</v>
      </c>
      <c r="E896" s="437" t="str">
        <f>+VLOOKUP(A896,cennik!A:G,2,FALSE)</f>
        <v>SEVROLL 05910 Arte GM 18 úchytová lišta 2,7m čierna mat</v>
      </c>
      <c r="F896" s="437" t="str">
        <f>+VLOOKUP(A896,cennik!A:B,2,FALSE)</f>
        <v>SEVROLL 05910 Arte GM 18 úchytová lišta 2,7m čierna mat</v>
      </c>
      <c r="H896" s="1">
        <v>2700</v>
      </c>
      <c r="I896" s="1" t="str">
        <f>J17</f>
        <v>čierna mat</v>
      </c>
    </row>
    <row r="897" spans="1:9" ht="15" customHeight="1" x14ac:dyDescent="0.3">
      <c r="A897" s="1">
        <v>489287</v>
      </c>
      <c r="C897" s="1" t="str">
        <f>J4</f>
        <v xml:space="preserve">strieborná </v>
      </c>
      <c r="D897" s="1">
        <v>489287</v>
      </c>
      <c r="E897" s="437" t="str">
        <f>+VLOOKUP(A897,cennik!A:G,2,FALSE)</f>
        <v>SEVROLL 05785 Porto GM 18 úchytová lišta 3m strieborn</v>
      </c>
      <c r="F897" s="437" t="str">
        <f>+VLOOKUP(A897,cennik!A:B,2,FALSE)</f>
        <v>SEVROLL 05785 Porto GM 18 úchytová lišta 3m strieborn</v>
      </c>
      <c r="H897" s="1">
        <v>3000</v>
      </c>
      <c r="I897" s="1" t="str">
        <f>J4</f>
        <v xml:space="preserve">strieborná </v>
      </c>
    </row>
    <row r="898" spans="1:9" ht="15" customHeight="1" x14ac:dyDescent="0.3">
      <c r="A898" s="1">
        <v>489289</v>
      </c>
      <c r="C898" s="1" t="str">
        <f>J6</f>
        <v>oliva</v>
      </c>
      <c r="D898" s="1">
        <v>489289</v>
      </c>
      <c r="E898" s="437" t="str">
        <f>+VLOOKUP(A898,cennik!A:G,2,FALSE)</f>
        <v>SEVROLL 05786 Porto GM 18 úchytová lišta 2,7m oliva</v>
      </c>
      <c r="F898" s="437" t="str">
        <f>+VLOOKUP(A898,cennik!A:B,2,FALSE)</f>
        <v>SEVROLL 05786 Porto GM 18 úchytová lišta 2,7m oliva</v>
      </c>
      <c r="H898" s="1">
        <v>2700</v>
      </c>
      <c r="I898" s="1" t="str">
        <f>J6</f>
        <v>oliva</v>
      </c>
    </row>
    <row r="899" spans="1:9" ht="15" customHeight="1" x14ac:dyDescent="0.3">
      <c r="A899" s="1">
        <v>489287</v>
      </c>
      <c r="C899" s="1" t="str">
        <f>J4</f>
        <v xml:space="preserve">strieborná </v>
      </c>
      <c r="D899" s="1">
        <v>489287</v>
      </c>
      <c r="E899" s="437" t="str">
        <f>+VLOOKUP(A899,cennik!A:G,2,FALSE)</f>
        <v>SEVROLL 05785 Porto GM 18 úchytová lišta 3m strieborn</v>
      </c>
      <c r="F899" s="437" t="str">
        <f>+VLOOKUP(A899,cennik!A:B,2,FALSE)</f>
        <v>SEVROLL 05785 Porto GM 18 úchytová lišta 3m strieborn</v>
      </c>
      <c r="H899" s="439">
        <v>3000</v>
      </c>
      <c r="I899" s="1" t="str">
        <f>J4</f>
        <v xml:space="preserve">strieborná </v>
      </c>
    </row>
    <row r="900" spans="1:9" ht="15" customHeight="1" x14ac:dyDescent="0.3">
      <c r="A900" s="1">
        <v>489288</v>
      </c>
      <c r="C900" s="1" t="str">
        <f>J6</f>
        <v>oliva</v>
      </c>
      <c r="D900" s="1">
        <v>489288</v>
      </c>
      <c r="E900" s="437" t="str">
        <f>+VLOOKUP(A900,cennik!A:G,2,FALSE)</f>
        <v>SEVROLL 05787 Porto GM 18 úchytová lišta 2,7m oliva</v>
      </c>
      <c r="F900" s="437" t="str">
        <f>+VLOOKUP(A900,cennik!A:B,2,FALSE)</f>
        <v>SEVROLL 05787 Porto GM 18 úchytová lišta 2,7m oliva</v>
      </c>
      <c r="H900" s="439">
        <v>3000</v>
      </c>
      <c r="I900" s="1" t="str">
        <f>J6</f>
        <v>oliva</v>
      </c>
    </row>
  </sheetData>
  <autoFilter ref="A2:F831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22" priority="53"/>
  </conditionalFormatting>
  <conditionalFormatting sqref="A185:A194">
    <cfRule type="duplicateValues" dxfId="321" priority="52"/>
  </conditionalFormatting>
  <conditionalFormatting sqref="A250">
    <cfRule type="duplicateValues" dxfId="320" priority="25"/>
    <cfRule type="duplicateValues" dxfId="319" priority="24"/>
  </conditionalFormatting>
  <conditionalFormatting sqref="A256:A260">
    <cfRule type="duplicateValues" dxfId="318" priority="54"/>
  </conditionalFormatting>
  <conditionalFormatting sqref="A261:A270">
    <cfRule type="duplicateValues" dxfId="317" priority="16"/>
    <cfRule type="duplicateValues" dxfId="316" priority="17"/>
  </conditionalFormatting>
  <conditionalFormatting sqref="A303">
    <cfRule type="duplicateValues" dxfId="315" priority="41"/>
    <cfRule type="duplicateValues" dxfId="314" priority="42"/>
  </conditionalFormatting>
  <conditionalFormatting sqref="A304:A306">
    <cfRule type="duplicateValues" dxfId="313" priority="44"/>
    <cfRule type="duplicateValues" dxfId="312" priority="43"/>
  </conditionalFormatting>
  <conditionalFormatting sqref="A320:A322">
    <cfRule type="duplicateValues" dxfId="311" priority="40"/>
    <cfRule type="duplicateValues" dxfId="310" priority="39"/>
  </conditionalFormatting>
  <conditionalFormatting sqref="A323">
    <cfRule type="duplicateValues" dxfId="309" priority="37"/>
    <cfRule type="duplicateValues" dxfId="308" priority="38"/>
  </conditionalFormatting>
  <conditionalFormatting sqref="A367:A368">
    <cfRule type="duplicateValues" dxfId="307" priority="50"/>
  </conditionalFormatting>
  <conditionalFormatting sqref="A378:A381">
    <cfRule type="duplicateValues" dxfId="306" priority="49"/>
  </conditionalFormatting>
  <conditionalFormatting sqref="A397">
    <cfRule type="duplicateValues" dxfId="305" priority="32"/>
  </conditionalFormatting>
  <conditionalFormatting sqref="A398:A399">
    <cfRule type="duplicateValues" dxfId="304" priority="33"/>
  </conditionalFormatting>
  <conditionalFormatting sqref="A438:A441">
    <cfRule type="duplicateValues" dxfId="303" priority="48"/>
  </conditionalFormatting>
  <conditionalFormatting sqref="A486:A488">
    <cfRule type="duplicateValues" dxfId="302" priority="19"/>
    <cfRule type="duplicateValues" dxfId="301" priority="18"/>
  </conditionalFormatting>
  <conditionalFormatting sqref="A489">
    <cfRule type="duplicateValues" dxfId="300" priority="30"/>
  </conditionalFormatting>
  <conditionalFormatting sqref="A490:A491">
    <cfRule type="duplicateValues" dxfId="299" priority="31"/>
  </conditionalFormatting>
  <conditionalFormatting sqref="A515">
    <cfRule type="duplicateValues" dxfId="298" priority="47"/>
  </conditionalFormatting>
  <conditionalFormatting sqref="A519">
    <cfRule type="duplicateValues" dxfId="297" priority="35"/>
  </conditionalFormatting>
  <conditionalFormatting sqref="A522">
    <cfRule type="duplicateValues" dxfId="296" priority="34"/>
  </conditionalFormatting>
  <conditionalFormatting sqref="A528:A529">
    <cfRule type="duplicateValues" dxfId="295" priority="29"/>
    <cfRule type="duplicateValues" dxfId="294" priority="28"/>
  </conditionalFormatting>
  <conditionalFormatting sqref="A561">
    <cfRule type="duplicateValues" dxfId="293" priority="36"/>
  </conditionalFormatting>
  <conditionalFormatting sqref="A646:A647">
    <cfRule type="duplicateValues" dxfId="292" priority="46"/>
  </conditionalFormatting>
  <conditionalFormatting sqref="A657:A658">
    <cfRule type="duplicateValues" dxfId="291" priority="45"/>
  </conditionalFormatting>
  <conditionalFormatting sqref="A723:A724">
    <cfRule type="duplicateValues" dxfId="290" priority="51"/>
  </conditionalFormatting>
  <conditionalFormatting sqref="A727:A728 A730">
    <cfRule type="duplicateValues" dxfId="289" priority="26"/>
  </conditionalFormatting>
  <conditionalFormatting sqref="A727:A728">
    <cfRule type="duplicateValues" dxfId="288" priority="27"/>
  </conditionalFormatting>
  <conditionalFormatting sqref="A729">
    <cfRule type="duplicateValues" dxfId="287" priority="22"/>
    <cfRule type="duplicateValues" dxfId="286" priority="23"/>
  </conditionalFormatting>
  <conditionalFormatting sqref="A864:A866 A635:A636 A572:A573">
    <cfRule type="duplicateValues" dxfId="285" priority="55"/>
  </conditionalFormatting>
  <conditionalFormatting sqref="A879:A885">
    <cfRule type="duplicateValues" dxfId="284" priority="56"/>
  </conditionalFormatting>
  <conditionalFormatting sqref="A886:A893 A1:A3 A896:A1048576">
    <cfRule type="duplicateValues" dxfId="283" priority="325"/>
  </conditionalFormatting>
  <conditionalFormatting sqref="A886:A893">
    <cfRule type="duplicateValues" dxfId="282" priority="112"/>
  </conditionalFormatting>
  <conditionalFormatting sqref="D94:D98">
    <cfRule type="duplicateValues" dxfId="281" priority="165"/>
  </conditionalFormatting>
  <conditionalFormatting sqref="D185:D194">
    <cfRule type="duplicateValues" dxfId="280" priority="162"/>
  </conditionalFormatting>
  <conditionalFormatting sqref="D250">
    <cfRule type="duplicateValues" dxfId="279" priority="66"/>
    <cfRule type="duplicateValues" dxfId="278" priority="65"/>
  </conditionalFormatting>
  <conditionalFormatting sqref="D256:D260">
    <cfRule type="duplicateValues" dxfId="277" priority="167"/>
  </conditionalFormatting>
  <conditionalFormatting sqref="D261:D265">
    <cfRule type="duplicateValues" dxfId="276" priority="58"/>
    <cfRule type="duplicateValues" dxfId="275" priority="57"/>
  </conditionalFormatting>
  <conditionalFormatting sqref="D266:D270">
    <cfRule type="duplicateValues" dxfId="274" priority="3"/>
    <cfRule type="duplicateValues" dxfId="273" priority="2"/>
  </conditionalFormatting>
  <conditionalFormatting sqref="D303">
    <cfRule type="duplicateValues" dxfId="272" priority="102"/>
    <cfRule type="duplicateValues" dxfId="271" priority="103"/>
  </conditionalFormatting>
  <conditionalFormatting sqref="D304:D306">
    <cfRule type="duplicateValues" dxfId="270" priority="106"/>
    <cfRule type="duplicateValues" dxfId="269" priority="107"/>
  </conditionalFormatting>
  <conditionalFormatting sqref="D320:D322">
    <cfRule type="duplicateValues" dxfId="268" priority="98"/>
    <cfRule type="duplicateValues" dxfId="267" priority="99"/>
  </conditionalFormatting>
  <conditionalFormatting sqref="D323">
    <cfRule type="duplicateValues" dxfId="266" priority="94"/>
    <cfRule type="duplicateValues" dxfId="265" priority="95"/>
  </conditionalFormatting>
  <conditionalFormatting sqref="D367:D368">
    <cfRule type="duplicateValues" dxfId="264" priority="155"/>
  </conditionalFormatting>
  <conditionalFormatting sqref="D378:D381">
    <cfRule type="duplicateValues" dxfId="263" priority="151"/>
  </conditionalFormatting>
  <conditionalFormatting sqref="D397">
    <cfRule type="duplicateValues" dxfId="262" priority="81"/>
  </conditionalFormatting>
  <conditionalFormatting sqref="D398:D399">
    <cfRule type="duplicateValues" dxfId="261" priority="84"/>
  </conditionalFormatting>
  <conditionalFormatting sqref="D438:D441">
    <cfRule type="duplicateValues" dxfId="260" priority="149"/>
  </conditionalFormatting>
  <conditionalFormatting sqref="D486:D488">
    <cfRule type="duplicateValues" dxfId="259" priority="59"/>
    <cfRule type="duplicateValues" dxfId="258" priority="60"/>
  </conditionalFormatting>
  <conditionalFormatting sqref="D489">
    <cfRule type="duplicateValues" dxfId="257" priority="75"/>
  </conditionalFormatting>
  <conditionalFormatting sqref="D490:D491">
    <cfRule type="duplicateValues" dxfId="256" priority="78"/>
  </conditionalFormatting>
  <conditionalFormatting sqref="D515">
    <cfRule type="duplicateValues" dxfId="255" priority="146"/>
  </conditionalFormatting>
  <conditionalFormatting sqref="D519">
    <cfRule type="duplicateValues" dxfId="254" priority="90"/>
  </conditionalFormatting>
  <conditionalFormatting sqref="D522">
    <cfRule type="duplicateValues" dxfId="253" priority="87"/>
  </conditionalFormatting>
  <conditionalFormatting sqref="D528:D529">
    <cfRule type="duplicateValues" dxfId="252" priority="69"/>
    <cfRule type="duplicateValues" dxfId="251" priority="70"/>
  </conditionalFormatting>
  <conditionalFormatting sqref="D561">
    <cfRule type="duplicateValues" dxfId="250" priority="93"/>
  </conditionalFormatting>
  <conditionalFormatting sqref="D646:D647">
    <cfRule type="duplicateValues" dxfId="249" priority="120"/>
  </conditionalFormatting>
  <conditionalFormatting sqref="D657:D658">
    <cfRule type="duplicateValues" dxfId="248" priority="118"/>
  </conditionalFormatting>
  <conditionalFormatting sqref="D723:D724">
    <cfRule type="duplicateValues" dxfId="247" priority="158"/>
  </conditionalFormatting>
  <conditionalFormatting sqref="D727:D728 D730">
    <cfRule type="duplicateValues" dxfId="246" priority="67"/>
  </conditionalFormatting>
  <conditionalFormatting sqref="D727:D728">
    <cfRule type="duplicateValues" dxfId="245" priority="68"/>
  </conditionalFormatting>
  <conditionalFormatting sqref="D729">
    <cfRule type="duplicateValues" dxfId="244" priority="63"/>
    <cfRule type="duplicateValues" dxfId="243" priority="64"/>
  </conditionalFormatting>
  <conditionalFormatting sqref="D864:D866 D635:D636 D572:D573">
    <cfRule type="duplicateValues" dxfId="242" priority="359"/>
  </conditionalFormatting>
  <conditionalFormatting sqref="D879:D885">
    <cfRule type="duplicateValues" dxfId="241" priority="403"/>
  </conditionalFormatting>
  <conditionalFormatting sqref="D886:D887">
    <cfRule type="duplicateValues" dxfId="240" priority="15"/>
    <cfRule type="duplicateValues" dxfId="239" priority="14"/>
  </conditionalFormatting>
  <conditionalFormatting sqref="D888 D890">
    <cfRule type="duplicateValues" dxfId="238" priority="13"/>
  </conditionalFormatting>
  <conditionalFormatting sqref="D888">
    <cfRule type="duplicateValues" dxfId="237" priority="12"/>
  </conditionalFormatting>
  <conditionalFormatting sqref="D889">
    <cfRule type="duplicateValues" dxfId="236" priority="7"/>
    <cfRule type="duplicateValues" dxfId="235" priority="6"/>
  </conditionalFormatting>
  <conditionalFormatting sqref="D891 D893">
    <cfRule type="duplicateValues" dxfId="234" priority="11"/>
  </conditionalFormatting>
  <conditionalFormatting sqref="D891">
    <cfRule type="duplicateValues" dxfId="233" priority="10"/>
  </conditionalFormatting>
  <conditionalFormatting sqref="D892">
    <cfRule type="duplicateValues" dxfId="232" priority="5"/>
    <cfRule type="duplicateValues" dxfId="231" priority="4"/>
  </conditionalFormatting>
  <conditionalFormatting sqref="D896">
    <cfRule type="duplicateValues" dxfId="230" priority="9"/>
    <cfRule type="duplicateValues" dxfId="229" priority="8"/>
  </conditionalFormatting>
  <conditionalFormatting sqref="D897:D900">
    <cfRule type="duplicateValues" dxfId="228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2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50</vt:i4>
      </vt:variant>
      <vt:variant>
        <vt:lpstr>Pojmenované oblasti</vt:lpstr>
      </vt:variant>
      <vt:variant>
        <vt:i4>47</vt:i4>
      </vt:variant>
    </vt:vector>
  </HeadingPairs>
  <TitlesOfParts>
    <vt:vector size="97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Elegant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Elegant!barva_8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2020-02-10T14:29:29Z</cp:lastPrinted>
  <dcterms:created xsi:type="dcterms:W3CDTF">2009-03-23T13:24:16Z</dcterms:created>
  <dcterms:modified xsi:type="dcterms:W3CDTF">2025-06-19T12:16:17Z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