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StrongMax Planner/Nahrané verze/"/>
    </mc:Choice>
  </mc:AlternateContent>
  <xr:revisionPtr revIDLastSave="0" documentId="8_{2C2F5911-D98B-4400-9940-7D77E8820B2E}" xr6:coauthVersionLast="47" xr6:coauthVersionMax="47" xr10:uidLastSave="{00000000-0000-0000-0000-000000000000}"/>
  <workbookProtection workbookAlgorithmName="SHA-512" workbookHashValue="FoWo4oGeleZ8Ac7SrQuCJWxzZbjIkfefKYhEEPYgJ0FPmhLsg2c2hEPJkdjE6v3eUCrZLbNjIhUyavH/9Zak0A==" workbookSaltValue="23mSKShW1MqcWoUDrc+luQ==" workbookSpinCount="100000" lockStructure="1"/>
  <bookViews>
    <workbookView showSheetTabs="0" xWindow="28680" yWindow="-120" windowWidth="29040" windowHeight="15720" xr2:uid="{A72B8394-9CD0-4441-990A-B5868872BD14}"/>
  </bookViews>
  <sheets>
    <sheet name="Úvod" sheetId="1" r:id="rId1"/>
    <sheet name="Zakaznik" sheetId="10" r:id="rId2"/>
    <sheet name="Menu" sheetId="11" r:id="rId3"/>
    <sheet name="Překlady" sheetId="2" state="hidden" r:id="rId4"/>
    <sheet name="čelo" sheetId="5" r:id="rId5"/>
    <sheet name="nákresy" sheetId="12" state="hidden" r:id="rId6"/>
    <sheet name="Karty" sheetId="7" state="hidden" r:id="rId7"/>
    <sheet name="vnitřní" sheetId="6" state="hidden" r:id="rId8"/>
    <sheet name="výška bočnic" sheetId="8" state="hidden" r:id="rId9"/>
  </sheets>
  <definedNames>
    <definedName name="_A1">#REF!</definedName>
    <definedName name="_A2">#REF!</definedName>
    <definedName name="_A3">#REF!</definedName>
    <definedName name="_xlnm._FilterDatabase" localSheetId="6" hidden="1">Karty!$K$2:$Q$98</definedName>
    <definedName name="_kombinovane_profily">#REF!</definedName>
    <definedName name="_N1">#REF!</definedName>
    <definedName name="_N2">#REF!</definedName>
    <definedName name="_N3">#REF!</definedName>
    <definedName name="_obrazek">IF(#REF!="PRAVDA",#REF!,IF(#REF!="NEPRAVDA",#REF!,0))</definedName>
    <definedName name="_pocet_sprzosy">#REF!</definedName>
    <definedName name="_široký_Automatická_vzpěra">#REF!</definedName>
    <definedName name="_široký_Aventos_HF">#REF!</definedName>
    <definedName name="_široký_Aventos_HK_XS">#REF!</definedName>
    <definedName name="_široký_BLUM_naložený">#REF!</definedName>
    <definedName name="_široký_BLUM_polonaložený">#REF!</definedName>
    <definedName name="_široký_BLUM_vložený">#REF!</definedName>
    <definedName name="_široký_Duo">#REF!</definedName>
    <definedName name="_široký_Duo_Forte">#REF!</definedName>
    <definedName name="_široký_FREEfold">#REF!</definedName>
    <definedName name="_široký_FREElight">#REF!</definedName>
    <definedName name="_široký_HETTICH_naložený">#REF!</definedName>
    <definedName name="_široký_HETTICH_polonaložený">#REF!</definedName>
    <definedName name="_široký_HETTICH_vložený">#REF!</definedName>
    <definedName name="_široký_K12">#REF!</definedName>
    <definedName name="_široký_Kiaro">#REF!</definedName>
    <definedName name="_široký_Kraby">#REF!</definedName>
    <definedName name="_široký_LiftMini">#REF!</definedName>
    <definedName name="_široký_Link">#REF!</definedName>
    <definedName name="_široký_Maxi">#REF!</definedName>
    <definedName name="_široký_Polohovací_vzpěra">#REF!</definedName>
    <definedName name="_široký_Spodní_K12">#REF!</definedName>
    <definedName name="_široký_Spodní_Kraby">#REF!</definedName>
    <definedName name="_široký_STRONG_naložený">#REF!</definedName>
    <definedName name="_široký_STRONG_PLUS_naložený">#REF!</definedName>
    <definedName name="_široký_STRONG_PLUS_polonaložený">#REF!</definedName>
    <definedName name="_široký_STRONG_PLUS_vložený">#REF!</definedName>
    <definedName name="_široký_STRONG_polonaložený">#REF!</definedName>
    <definedName name="_široký_STRONG_vložený">#REF!</definedName>
    <definedName name="_umisteni_zavesu">#REF!</definedName>
    <definedName name="_umisteni_zavesu_vyklop">#REF!</definedName>
    <definedName name="_Úzký_Automatická_vzpěra">#REF!</definedName>
    <definedName name="_Úzký_Aventos_HF">#REF!</definedName>
    <definedName name="_Úzký_Aventos_HK_XS">#REF!</definedName>
    <definedName name="_úzký_BLUM_naložený">#REF!</definedName>
    <definedName name="_úzký_BLUM_polonaložený">#REF!</definedName>
    <definedName name="_úzký_BLUM_vložený">#REF!</definedName>
    <definedName name="_Úzký_Duo">#REF!</definedName>
    <definedName name="_Úzký_Duo_Forte">#REF!</definedName>
    <definedName name="_Úzký_FREEfold">#REF!</definedName>
    <definedName name="_Úzký_FREElight">#REF!</definedName>
    <definedName name="_úzký_HETTICH_naložený">#REF!</definedName>
    <definedName name="_úzký_HETTICH_polonaložený">#REF!</definedName>
    <definedName name="_úzký_HETTICH_vložený">#REF!</definedName>
    <definedName name="_Úzký_K12">#REF!</definedName>
    <definedName name="_Úzký_Kiaro">#REF!</definedName>
    <definedName name="_Úzký_Kraby">#REF!</definedName>
    <definedName name="_Úzký_Maxi">#REF!</definedName>
    <definedName name="_Úzký_Polohovací_vzpěra">#REF!</definedName>
    <definedName name="_Úzký_Spodní_K12">#REF!</definedName>
    <definedName name="_Úzký_Spodní_Kraby">#REF!</definedName>
    <definedName name="_úzký_STRONG_naložený">#REF!</definedName>
    <definedName name="_úzký_STRONG_PLUS_naložený">#REF!</definedName>
    <definedName name="_varna_panty_svisle">#REF!</definedName>
    <definedName name="_vše_profily">#REF!</definedName>
    <definedName name="_vyklopy_blum">#REF!</definedName>
    <definedName name="_vyklopy_hettich">#REF!</definedName>
    <definedName name="_vyklopy_italiana">#REF!</definedName>
    <definedName name="_vyklopy_kesse">#REF!</definedName>
    <definedName name="_vyklopy_strong">#REF!</definedName>
    <definedName name="_zavesy_blum">#REF!</definedName>
    <definedName name="_zavesy_hettich">#REF!</definedName>
    <definedName name="_zavesy_strong">#REF!</definedName>
    <definedName name="_znacka_vyklopy">#REF!</definedName>
    <definedName name="_znacka_zavesy">#REF!</definedName>
    <definedName name="AV_HF">#REF!</definedName>
    <definedName name="AV_HF_SD">#REF!</definedName>
    <definedName name="AV_HK">#REF!</definedName>
    <definedName name="AV_HK_SD">#REF!</definedName>
    <definedName name="AV_HK_TIP">#REF!</definedName>
    <definedName name="AV_HKS">#REF!</definedName>
    <definedName name="AV_HKS_TIP">#REF!</definedName>
    <definedName name="AV_HKXS">#REF!</definedName>
    <definedName name="AV_HKXS_TIP">#REF!</definedName>
    <definedName name="AV_HL">#REF!</definedName>
    <definedName name="AV_HL_SD">#REF!</definedName>
    <definedName name="AV_HS">#REF!</definedName>
    <definedName name="AV_HS_SD">#REF!</definedName>
    <definedName name="AV_OST">#REF!</definedName>
    <definedName name="BLUM">#REF!</definedName>
    <definedName name="BLUM_WIDE">#REF!</definedName>
    <definedName name="ČTYŘI_VÝŠKY">čelo!$Y$6:$Y$9</definedName>
    <definedName name="DOL_DV">#REF!</definedName>
    <definedName name="DOLE">#REF!</definedName>
    <definedName name="DTDL_18">#REF!</definedName>
    <definedName name="DVĚ_VÝŠKY">čelo!$W$6:$W$7</definedName>
    <definedName name="HETTICH">#REF!</definedName>
    <definedName name="HF_POZICE_2_DVIRKA">#REF!</definedName>
    <definedName name="HF_TYP_2_CILKA">#REF!</definedName>
    <definedName name="HM_UCH">#REF!</definedName>
    <definedName name="HOR_DV">#REF!</definedName>
    <definedName name="JEDNA_VÝŠKA">čelo!$V$6</definedName>
    <definedName name="MAX_ROZ_RAM">#REF!</definedName>
    <definedName name="MDF_16">#REF!</definedName>
    <definedName name="MDF_18">#REF!</definedName>
    <definedName name="MIN_POZ_ZAVES">#REF!</definedName>
    <definedName name="MIN_POZ_ZAVES_80">#REF!</definedName>
    <definedName name="MIN_ROZ_RAM">#REF!</definedName>
    <definedName name="NAHORE">#REF!</definedName>
    <definedName name="OBE_STRANY">#REF!</definedName>
    <definedName name="_xlnm.Print_Area" localSheetId="4">čelo!$A$186:$H$302</definedName>
    <definedName name="PANT_BLUM_SLIM">#REF!</definedName>
    <definedName name="PANT_BLUM_WIDE">#REF!</definedName>
    <definedName name="PANT_HETTICH_SLIM">#REF!</definedName>
    <definedName name="PANT_HETTICH_WIDE">#REF!</definedName>
    <definedName name="PANT_STRONG_SLIM_BTL">#REF!</definedName>
    <definedName name="PANT_STRONG_SLIM_STL">#REF!</definedName>
    <definedName name="PANT_STRONG_WIDE_BTL">#REF!</definedName>
    <definedName name="PANT_STRONG_WIDE_STL">#REF!</definedName>
    <definedName name="PANTY_TAB1">#REF!</definedName>
    <definedName name="POC_ZAVES">#REF!</definedName>
    <definedName name="POZ_RAM">#REF!</definedName>
    <definedName name="POZICE_RAMENE">#REF!</definedName>
    <definedName name="PRAZDNE_1">#REF!</definedName>
    <definedName name="PROFILY_ALL">#REF!</definedName>
    <definedName name="PROV_2_CILKA">#REF!</definedName>
    <definedName name="RADEK_1_5">OFFSET(#REF!,0,0,COUNT(#REF!:#REF!),1)</definedName>
    <definedName name="RADEK_1_6">OFFSET(#REF!,0,0,COUNT(#REF!:#REF!),1)</definedName>
    <definedName name="RADEK_2_5">OFFSET(#REF!,0,0,COUNT(#REF!:#REF!),1)</definedName>
    <definedName name="RADEK_2_6">OFFSET(#REF!,0,0,COUNT(#REF!:#REF!),1)</definedName>
    <definedName name="RADEK_3_5">OFFSET(#REF!,0,0,COUNT(#REF!:#REF!),1)</definedName>
    <definedName name="RADEK_3_6">OFFSET(#REF!,0,0,COUNT(#REF!:#REF!),1)</definedName>
    <definedName name="RADEK_4_5">OFFSET(#REF!,0,0,COUNT(#REF!:#REF!),1)</definedName>
    <definedName name="RADEK_4_6">OFFSET(#REF!,0,0,COUNT(#REF!:#REF!),1)</definedName>
    <definedName name="RADEK_5_5">OFFSET(#REF!,0,0,COUNT(#REF!:#REF!),1)</definedName>
    <definedName name="RADEK_5_6">OFFSET(#REF!,0,0,COUNT(#REF!:#REF!),1)</definedName>
    <definedName name="RADEK_6_5">OFFSET(#REF!,0,0,COUNT(#REF!:#REF!),1)</definedName>
    <definedName name="RADEK_6_6">OFFSET(#REF!,0,0,COUNT(#REF!:#REF!),1)</definedName>
    <definedName name="SIR_RAM">#REF!</definedName>
    <definedName name="SKLO_ALL">#REF!</definedName>
    <definedName name="SKLO_FOR_STICK">#REF!</definedName>
    <definedName name="SKLO_VYBER_T1">OFFSET(#REF!,0,0,COUNT(#REF!),1)</definedName>
    <definedName name="SKLO_VYBER_T2">OFFSET(#REF!,0,0,COUNT(#REF!),1)</definedName>
    <definedName name="SKLO_VYBER_T3">OFFSET(#REF!,0,0,COUNT(#REF!),1)</definedName>
    <definedName name="SKLO_VYBER_T4">OFFSET(#REF!,0,0,COUNT(#REF!),1)</definedName>
    <definedName name="SKLO_VYBER_T5">OFFSET(#REF!,0,0,COUNT(#REF!),1)</definedName>
    <definedName name="SKLO_VYBER_T6">OFFSET(#REF!,0,0,COUNT(#REF!),1)</definedName>
    <definedName name="STRONG_BINT_TL">#REF!</definedName>
    <definedName name="STRONG_INT_TL">#REF!</definedName>
    <definedName name="STRONG_Plus">#REF!</definedName>
    <definedName name="T1_PANT_BLUM">#REF!</definedName>
    <definedName name="T1_PANT_HETTICH">#REF!</definedName>
    <definedName name="T1_PANT_STRONG_BTL">#REF!</definedName>
    <definedName name="T1_PANT_STRONG_PLUS">#REF!</definedName>
    <definedName name="T1_PANT_STRONG_STL">#REF!</definedName>
    <definedName name="T1_PODLOZKA_TYPY">OFFSET(#REF!,0,0,COUNT(#REF!),1)</definedName>
    <definedName name="T1_VYKLOPY">OFFSET(#REF!,0,0,COUNT(#REF!),1)</definedName>
    <definedName name="T2_PANT_BLUM">#REF!</definedName>
    <definedName name="T2_PANT_HETTICH">#REF!</definedName>
    <definedName name="T2_PANT_STRONG_BTL">#REF!</definedName>
    <definedName name="T2_PANT_STRONG_STL">#REF!</definedName>
    <definedName name="T2_PODLOZKA_TYPY">OFFSET(#REF!,0,0,COUNT(#REF!),1)</definedName>
    <definedName name="T2_VYKLOPY">OFFSET(#REF!,0,0,COUNT(#REF!),1)</definedName>
    <definedName name="T3_PANT_BLUM">#REF!</definedName>
    <definedName name="T3_PANT_HETTICH">#REF!</definedName>
    <definedName name="T3_PANT_STRONG_BTL">#REF!</definedName>
    <definedName name="T3_PANT_STRONG_STL">#REF!</definedName>
    <definedName name="T3_PODLOZKA_TYPY">OFFSET(#REF!,0,0,COUNT(#REF!),1)</definedName>
    <definedName name="T3_VYKLOPY">OFFSET(#REF!,0,0,COUNT(#REF!),1)</definedName>
    <definedName name="T4_PANT_BLUM">#REF!</definedName>
    <definedName name="T4_PANT_HETTICH">#REF!</definedName>
    <definedName name="T4_PANT_STRONG_BTL">#REF!</definedName>
    <definedName name="T4_PANT_STRONG_STL">#REF!</definedName>
    <definedName name="T4_PODLOZKA_TYPY">OFFSET(#REF!,0,0,COUNT(#REF!),1)</definedName>
    <definedName name="T4_VYKLOPY">OFFSET(#REF!,0,0,COUNT(#REF!),1)</definedName>
    <definedName name="T5_PANT_BLUM">#REF!</definedName>
    <definedName name="T5_PANT_HETTICH">#REF!</definedName>
    <definedName name="T5_PANT_STRONG_BTL">#REF!</definedName>
    <definedName name="T5_PANT_STRONG_STL">#REF!</definedName>
    <definedName name="T5_PODLOZKA_TYPY">OFFSET(#REF!,0,0,COUNT(#REF!),1)</definedName>
    <definedName name="T5_VYKLOPY">OFFSET(#REF!,0,0,COUNT(#REF!),1)</definedName>
    <definedName name="T6_PANT_BLUM">#REF!</definedName>
    <definedName name="T6_PANT_HETTICH">#REF!</definedName>
    <definedName name="T6_PANT_STRONG_BTL">#REF!</definedName>
    <definedName name="T6_PANT_STRONG_STL">#REF!</definedName>
    <definedName name="T6_PODLOZKA_TYPY">OFFSET(#REF!,0,0,COUNT(#REF!),1)</definedName>
    <definedName name="T6_VYKLOPY">OFFSET(#REF!,0,0,COUNT(#REF!),1)</definedName>
    <definedName name="TŘI_VÝŠKY">čelo!$X$6:$X$8</definedName>
    <definedName name="TYP_AV">#REF!</definedName>
    <definedName name="TYP_AV_OST">#REF!</definedName>
    <definedName name="TYP_PODL">#REF!</definedName>
    <definedName name="TYP_RAM">#REF!</definedName>
    <definedName name="TYP_RAM_AV_HL">#REF!</definedName>
    <definedName name="TYP_ZAV">#REF!</definedName>
    <definedName name="UMISTENI_RAM_HKXS">#REF!</definedName>
    <definedName name="UMISTENI_VYKLOP">#REF!</definedName>
    <definedName name="UZKY_RAM">#REF!</definedName>
    <definedName name="VLEVO">#REF!</definedName>
    <definedName name="VPRAVO">#REF!</definedName>
    <definedName name="VYBER_SEZN">#REF!</definedName>
    <definedName name="VYKLOP_DWN_SLIM">#REF!</definedName>
    <definedName name="VYKLOP_DWN_WIDE">#REF!</definedName>
    <definedName name="VYKLOP_UP_SLIM">#REF!</definedName>
    <definedName name="VYKLOP_UP_WIDE">#REF!</definedName>
    <definedName name="VYR_ZAVES">#REF!</definedName>
    <definedName name="VZD_ZAVES">#REF!</definedName>
    <definedName name="ZAVES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5" l="1"/>
  <c r="J110" i="5"/>
  <c r="J113" i="5"/>
  <c r="J115" i="5"/>
  <c r="J116" i="5"/>
  <c r="J118" i="5"/>
  <c r="J117" i="5"/>
  <c r="J122" i="5"/>
  <c r="B59" i="5"/>
  <c r="B56" i="5" s="1"/>
  <c r="I87" i="5"/>
  <c r="C135" i="5" l="1"/>
  <c r="Q86" i="5"/>
  <c r="J120" i="5"/>
  <c r="J112" i="5"/>
  <c r="L131" i="5" l="1"/>
  <c r="L101" i="5"/>
  <c r="I57" i="5"/>
  <c r="I58" i="5"/>
  <c r="I59" i="5"/>
  <c r="I60" i="5"/>
  <c r="I61" i="5"/>
  <c r="H51" i="5"/>
  <c r="I116" i="5" l="1"/>
  <c r="Z40" i="5"/>
  <c r="Z35" i="5"/>
  <c r="K76" i="5"/>
  <c r="B154" i="5"/>
  <c r="B153" i="5"/>
  <c r="B151" i="5"/>
  <c r="B148" i="5"/>
  <c r="B146" i="5"/>
  <c r="B122" i="5"/>
  <c r="B120" i="5"/>
  <c r="Z36" i="5"/>
  <c r="V31" i="5" l="1"/>
  <c r="V30" i="5"/>
  <c r="V29" i="5"/>
  <c r="V28" i="5"/>
  <c r="J125" i="5"/>
  <c r="B125" i="5"/>
  <c r="B147" i="5"/>
  <c r="B140" i="5"/>
  <c r="B149" i="5"/>
  <c r="B143" i="5"/>
  <c r="B156" i="5"/>
  <c r="I147" i="5"/>
  <c r="C137" i="5"/>
  <c r="D162" i="5"/>
  <c r="B110" i="5"/>
  <c r="B112" i="5"/>
  <c r="B113" i="5"/>
  <c r="B115" i="5"/>
  <c r="B116" i="5"/>
  <c r="B117" i="5"/>
  <c r="B118" i="5"/>
  <c r="I5" i="5"/>
  <c r="C76" i="2" l="1"/>
  <c r="B11" i="5" s="1"/>
  <c r="C75" i="2"/>
  <c r="D20" i="10" s="1"/>
  <c r="C74" i="2"/>
  <c r="C6" i="10" s="1"/>
  <c r="Q116" i="5" l="1"/>
  <c r="D131" i="5"/>
  <c r="B80" i="5" l="1"/>
  <c r="B87" i="5"/>
  <c r="B85" i="5"/>
  <c r="B88" i="5"/>
  <c r="B90" i="5"/>
  <c r="B92" i="5"/>
  <c r="B95" i="5"/>
  <c r="B82" i="5"/>
  <c r="K106" i="5"/>
  <c r="C76" i="5"/>
  <c r="C106" i="5"/>
  <c r="B86" i="5" l="1"/>
  <c r="B83" i="5"/>
  <c r="C73" i="2"/>
  <c r="C72" i="2"/>
  <c r="C71" i="2"/>
  <c r="C70" i="2"/>
  <c r="Z34" i="5"/>
  <c r="Z38" i="5"/>
  <c r="Z37" i="5"/>
  <c r="B33" i="5" l="1"/>
  <c r="B34" i="5"/>
  <c r="H25" i="5"/>
  <c r="I25" i="5"/>
  <c r="C5" i="2"/>
  <c r="V27" i="5" l="1"/>
  <c r="C69" i="2"/>
  <c r="AG31" i="5"/>
  <c r="AG30" i="5"/>
  <c r="AG29" i="5"/>
  <c r="AG27" i="5"/>
  <c r="AG28" i="5"/>
  <c r="C67" i="2"/>
  <c r="AG5" i="5" s="1"/>
  <c r="C68" i="2"/>
  <c r="AG6" i="5" s="1"/>
  <c r="G25" i="5" l="1"/>
  <c r="AG26" i="5"/>
  <c r="G22" i="5" s="1"/>
  <c r="C66" i="2" l="1"/>
  <c r="H48" i="2"/>
  <c r="F48" i="2"/>
  <c r="D48" i="2"/>
  <c r="T89" i="5"/>
  <c r="T90" i="5"/>
  <c r="T91" i="5"/>
  <c r="T92" i="5"/>
  <c r="C63" i="2"/>
  <c r="K104" i="5" s="1"/>
  <c r="C64" i="2"/>
  <c r="C65" i="2"/>
  <c r="D101" i="5"/>
  <c r="C62" i="2"/>
  <c r="C104" i="5" l="1"/>
  <c r="K74" i="5"/>
  <c r="J95" i="5"/>
  <c r="J88" i="5"/>
  <c r="J85" i="5"/>
  <c r="J94" i="5"/>
  <c r="J87" i="5"/>
  <c r="J86" i="5"/>
  <c r="J82" i="5"/>
  <c r="J80" i="5"/>
  <c r="J93" i="5"/>
  <c r="J92" i="5"/>
  <c r="J90" i="5"/>
  <c r="C61" i="2"/>
  <c r="C74" i="5" s="1"/>
  <c r="C60" i="2"/>
  <c r="H55" i="5" s="1"/>
  <c r="C59" i="2"/>
  <c r="H49" i="5" s="1"/>
  <c r="C58" i="2"/>
  <c r="H54" i="5" s="1"/>
  <c r="C57" i="2" l="1"/>
  <c r="W2" i="10"/>
  <c r="C55" i="2"/>
  <c r="C56" i="2"/>
  <c r="C54" i="2"/>
  <c r="C10" i="10" s="1"/>
  <c r="C53" i="2"/>
  <c r="C52" i="2"/>
  <c r="C51" i="2"/>
  <c r="E30" i="10" s="1"/>
  <c r="B14" i="1" l="1"/>
  <c r="C14" i="10"/>
  <c r="B30" i="10"/>
  <c r="B37" i="5"/>
  <c r="B30" i="11"/>
  <c r="C50" i="2" l="1"/>
  <c r="C48" i="2"/>
  <c r="A28" i="1" s="1"/>
  <c r="C49" i="2"/>
  <c r="C12" i="10" l="1"/>
  <c r="C41" i="2"/>
  <c r="C42" i="2"/>
  <c r="C43" i="2"/>
  <c r="C44" i="2"/>
  <c r="C45" i="2"/>
  <c r="C46" i="2"/>
  <c r="C47" i="2"/>
  <c r="C40" i="2"/>
  <c r="C39" i="2"/>
  <c r="C8" i="10" s="1"/>
  <c r="C38" i="2"/>
  <c r="C37" i="2"/>
  <c r="C36" i="2"/>
  <c r="B46" i="5" s="1"/>
  <c r="A27" i="5" l="1"/>
  <c r="A49" i="5"/>
  <c r="B53" i="5"/>
  <c r="B50" i="5" s="1"/>
  <c r="C35" i="2"/>
  <c r="Z39" i="5"/>
  <c r="AG7" i="5" l="1"/>
  <c r="AI27" i="5"/>
  <c r="AJ27" i="5" s="1"/>
  <c r="AI28" i="5"/>
  <c r="AJ28" i="5" s="1"/>
  <c r="AI31" i="5"/>
  <c r="AJ31" i="5" s="1"/>
  <c r="AI30" i="5"/>
  <c r="AJ30" i="5" s="1"/>
  <c r="AI29" i="5"/>
  <c r="AJ29" i="5" s="1"/>
  <c r="Y27" i="5"/>
  <c r="Z27" i="5" s="1"/>
  <c r="Y28" i="5"/>
  <c r="Z28" i="5" s="1"/>
  <c r="Y29" i="5"/>
  <c r="Z29" i="5" s="1"/>
  <c r="Y30" i="5"/>
  <c r="Z30" i="5" s="1"/>
  <c r="Y31" i="5"/>
  <c r="C34" i="2"/>
  <c r="C31" i="2"/>
  <c r="C32" i="2"/>
  <c r="C33" i="2"/>
  <c r="C30" i="2"/>
  <c r="D1" i="7"/>
  <c r="C29" i="2"/>
  <c r="AG32" i="5"/>
  <c r="C28" i="2"/>
  <c r="C27" i="2"/>
  <c r="C23" i="2"/>
  <c r="H60" i="5" s="1"/>
  <c r="C24" i="2"/>
  <c r="H59" i="5" s="1"/>
  <c r="C25" i="2"/>
  <c r="H58" i="5" s="1"/>
  <c r="C26" i="2"/>
  <c r="H57" i="5" s="1"/>
  <c r="D25" i="5" l="1"/>
  <c r="B8" i="5"/>
  <c r="B30" i="5"/>
  <c r="B29" i="5"/>
  <c r="E25" i="5"/>
  <c r="B25" i="5"/>
  <c r="B27" i="5"/>
  <c r="B28" i="5"/>
  <c r="F25" i="5"/>
  <c r="B12" i="7"/>
  <c r="Q12" i="7" s="1"/>
  <c r="B100" i="7"/>
  <c r="M22" i="10" s="1"/>
  <c r="B99" i="7"/>
  <c r="D22" i="10" s="1"/>
  <c r="Z31" i="5"/>
  <c r="AA31" i="5" s="1"/>
  <c r="AB31" i="5" s="1"/>
  <c r="AA6" i="5"/>
  <c r="L91" i="7"/>
  <c r="O91" i="7" s="1"/>
  <c r="L79" i="7"/>
  <c r="O79" i="7" s="1"/>
  <c r="L67" i="7"/>
  <c r="O67" i="7" s="1"/>
  <c r="L87" i="7"/>
  <c r="O87" i="7" s="1"/>
  <c r="L86" i="7"/>
  <c r="O86" i="7" s="1"/>
  <c r="L95" i="7"/>
  <c r="O95" i="7" s="1"/>
  <c r="L82" i="7"/>
  <c r="O82" i="7" s="1"/>
  <c r="L69" i="7"/>
  <c r="O69" i="7" s="1"/>
  <c r="L90" i="7"/>
  <c r="O90" i="7" s="1"/>
  <c r="L78" i="7"/>
  <c r="O78" i="7" s="1"/>
  <c r="L89" i="7"/>
  <c r="O89" i="7" s="1"/>
  <c r="L77" i="7"/>
  <c r="O77" i="7" s="1"/>
  <c r="L88" i="7"/>
  <c r="O88" i="7" s="1"/>
  <c r="L98" i="7"/>
  <c r="O98" i="7" s="1"/>
  <c r="L74" i="7"/>
  <c r="O74" i="7" s="1"/>
  <c r="L97" i="7"/>
  <c r="O97" i="7" s="1"/>
  <c r="L73" i="7"/>
  <c r="O73" i="7" s="1"/>
  <c r="L96" i="7"/>
  <c r="O96" i="7" s="1"/>
  <c r="L84" i="7"/>
  <c r="O84" i="7" s="1"/>
  <c r="L72" i="7"/>
  <c r="O72" i="7" s="1"/>
  <c r="L76" i="7"/>
  <c r="O76" i="7" s="1"/>
  <c r="L75" i="7"/>
  <c r="O75" i="7" s="1"/>
  <c r="L83" i="7"/>
  <c r="O83" i="7" s="1"/>
  <c r="L71" i="7"/>
  <c r="O71" i="7" s="1"/>
  <c r="L81" i="7"/>
  <c r="O81" i="7" s="1"/>
  <c r="L92" i="7"/>
  <c r="O92" i="7" s="1"/>
  <c r="L68" i="7"/>
  <c r="O68" i="7" s="1"/>
  <c r="L85" i="7"/>
  <c r="O85" i="7" s="1"/>
  <c r="L94" i="7"/>
  <c r="O94" i="7" s="1"/>
  <c r="L70" i="7"/>
  <c r="O70" i="7" s="1"/>
  <c r="L93" i="7"/>
  <c r="O93" i="7" s="1"/>
  <c r="L80" i="7"/>
  <c r="O80" i="7" s="1"/>
  <c r="AA5" i="5"/>
  <c r="L55" i="7"/>
  <c r="O55" i="7" s="1"/>
  <c r="L43" i="7"/>
  <c r="O43" i="7" s="1"/>
  <c r="L51" i="7"/>
  <c r="O51" i="7" s="1"/>
  <c r="L62" i="7"/>
  <c r="O62" i="7" s="1"/>
  <c r="L47" i="7"/>
  <c r="O47" i="7" s="1"/>
  <c r="L46" i="7"/>
  <c r="O46" i="7" s="1"/>
  <c r="L66" i="7"/>
  <c r="O66" i="7" s="1"/>
  <c r="L54" i="7"/>
  <c r="O54" i="7" s="1"/>
  <c r="L42" i="7"/>
  <c r="O42" i="7" s="1"/>
  <c r="L65" i="7"/>
  <c r="O65" i="7" s="1"/>
  <c r="L53" i="7"/>
  <c r="O53" i="7" s="1"/>
  <c r="L41" i="7"/>
  <c r="O41" i="7" s="1"/>
  <c r="L64" i="7"/>
  <c r="O64" i="7" s="1"/>
  <c r="L40" i="7"/>
  <c r="O40" i="7" s="1"/>
  <c r="L63" i="7"/>
  <c r="O63" i="7" s="1"/>
  <c r="L39" i="7"/>
  <c r="O39" i="7" s="1"/>
  <c r="L50" i="7"/>
  <c r="O50" i="7" s="1"/>
  <c r="L38" i="7"/>
  <c r="O38" i="7" s="1"/>
  <c r="L61" i="7"/>
  <c r="O61" i="7" s="1"/>
  <c r="L49" i="7"/>
  <c r="O49" i="7" s="1"/>
  <c r="L37" i="7"/>
  <c r="O37" i="7" s="1"/>
  <c r="L60" i="7"/>
  <c r="O60" i="7" s="1"/>
  <c r="L48" i="7"/>
  <c r="O48" i="7" s="1"/>
  <c r="L52" i="7"/>
  <c r="O52" i="7" s="1"/>
  <c r="L35" i="7"/>
  <c r="O35" i="7" s="1"/>
  <c r="L58" i="7"/>
  <c r="O58" i="7" s="1"/>
  <c r="L45" i="7"/>
  <c r="O45" i="7" s="1"/>
  <c r="L44" i="7"/>
  <c r="O44" i="7" s="1"/>
  <c r="L36" i="7"/>
  <c r="O36" i="7" s="1"/>
  <c r="L59" i="7"/>
  <c r="O59" i="7" s="1"/>
  <c r="L57" i="7"/>
  <c r="O57" i="7" s="1"/>
  <c r="L56" i="7"/>
  <c r="O56" i="7" s="1"/>
  <c r="AA7" i="5"/>
  <c r="L31" i="7"/>
  <c r="O31" i="7" s="1"/>
  <c r="L19" i="7"/>
  <c r="O19" i="7" s="1"/>
  <c r="L7" i="7"/>
  <c r="O7" i="7" s="1"/>
  <c r="L26" i="7"/>
  <c r="O26" i="7" s="1"/>
  <c r="L22" i="7"/>
  <c r="O22" i="7" s="1"/>
  <c r="L21" i="7"/>
  <c r="O21" i="7" s="1"/>
  <c r="L30" i="7"/>
  <c r="O30" i="7" s="1"/>
  <c r="L18" i="7"/>
  <c r="O18" i="7" s="1"/>
  <c r="L6" i="7"/>
  <c r="O6" i="7" s="1"/>
  <c r="L29" i="7"/>
  <c r="O29" i="7" s="1"/>
  <c r="L17" i="7"/>
  <c r="O17" i="7" s="1"/>
  <c r="L5" i="7"/>
  <c r="O5" i="7" s="1"/>
  <c r="L16" i="7"/>
  <c r="O16" i="7" s="1"/>
  <c r="L4" i="7"/>
  <c r="O4" i="7" s="1"/>
  <c r="L27" i="7"/>
  <c r="O27" i="7" s="1"/>
  <c r="L15" i="7"/>
  <c r="O15" i="7" s="1"/>
  <c r="L3" i="7"/>
  <c r="O3" i="7" s="1"/>
  <c r="L14" i="7"/>
  <c r="O14" i="7" s="1"/>
  <c r="L25" i="7"/>
  <c r="O25" i="7" s="1"/>
  <c r="L13" i="7"/>
  <c r="O13" i="7" s="1"/>
  <c r="L24" i="7"/>
  <c r="O24" i="7" s="1"/>
  <c r="L12" i="7"/>
  <c r="O12" i="7" s="1"/>
  <c r="L28" i="7"/>
  <c r="O28" i="7" s="1"/>
  <c r="L23" i="7"/>
  <c r="O23" i="7" s="1"/>
  <c r="L10" i="7"/>
  <c r="O10" i="7" s="1"/>
  <c r="L33" i="7"/>
  <c r="O33" i="7" s="1"/>
  <c r="L9" i="7"/>
  <c r="O9" i="7" s="1"/>
  <c r="L20" i="7"/>
  <c r="O20" i="7" s="1"/>
  <c r="L11" i="7"/>
  <c r="O11" i="7" s="1"/>
  <c r="L34" i="7"/>
  <c r="O34" i="7" s="1"/>
  <c r="L32" i="7"/>
  <c r="O32" i="7" s="1"/>
  <c r="L8" i="7"/>
  <c r="O8" i="7" s="1"/>
  <c r="B79" i="7"/>
  <c r="Q79" i="7" s="1"/>
  <c r="AA30" i="5"/>
  <c r="AB30" i="5" s="1"/>
  <c r="AA29" i="5"/>
  <c r="AB29" i="5" s="1"/>
  <c r="AA27" i="5"/>
  <c r="AB27" i="5" s="1"/>
  <c r="AA28" i="5"/>
  <c r="AB28" i="5" s="1"/>
  <c r="B91" i="7"/>
  <c r="Q91" i="7" s="1"/>
  <c r="B20" i="7"/>
  <c r="Q20" i="7" s="1"/>
  <c r="B19" i="7"/>
  <c r="Q19" i="7" s="1"/>
  <c r="B45" i="7"/>
  <c r="Q45" i="7" s="1"/>
  <c r="B18" i="7"/>
  <c r="Q18" i="7" s="1"/>
  <c r="B92" i="7"/>
  <c r="Q92" i="7" s="1"/>
  <c r="B21" i="7"/>
  <c r="Q21" i="7" s="1"/>
  <c r="B68" i="7"/>
  <c r="Q68" i="7" s="1"/>
  <c r="B90" i="7"/>
  <c r="Q90" i="7" s="1"/>
  <c r="B42" i="7"/>
  <c r="Q42" i="7" s="1"/>
  <c r="B86" i="7"/>
  <c r="Q86" i="7" s="1"/>
  <c r="B65" i="7"/>
  <c r="Q65" i="7" s="1"/>
  <c r="B41" i="7"/>
  <c r="Q41" i="7" s="1"/>
  <c r="B17" i="7"/>
  <c r="Q17" i="7" s="1"/>
  <c r="B69" i="7"/>
  <c r="Q69" i="7" s="1"/>
  <c r="B44" i="7"/>
  <c r="Q44" i="7" s="1"/>
  <c r="B67" i="7"/>
  <c r="Q67" i="7" s="1"/>
  <c r="B43" i="7"/>
  <c r="Q43" i="7" s="1"/>
  <c r="B89" i="7"/>
  <c r="Q89" i="7" s="1"/>
  <c r="B66" i="7"/>
  <c r="Q66" i="7" s="1"/>
  <c r="B82" i="7"/>
  <c r="Q82" i="7" s="1"/>
  <c r="B58" i="7"/>
  <c r="Q58" i="7" s="1"/>
  <c r="B34" i="7"/>
  <c r="Q34" i="7" s="1"/>
  <c r="B13" i="7"/>
  <c r="Q13" i="7" s="1"/>
  <c r="B10" i="7"/>
  <c r="Q10" i="7" s="1"/>
  <c r="B81" i="7"/>
  <c r="Q81" i="7" s="1"/>
  <c r="B57" i="7"/>
  <c r="Q57" i="7" s="1"/>
  <c r="B33" i="7"/>
  <c r="Q33" i="7" s="1"/>
  <c r="B80" i="7"/>
  <c r="Q80" i="7" s="1"/>
  <c r="B56" i="7"/>
  <c r="Q56" i="7" s="1"/>
  <c r="B32" i="7"/>
  <c r="Q32" i="7" s="1"/>
  <c r="B9" i="7"/>
  <c r="Q9" i="7" s="1"/>
  <c r="B55" i="7"/>
  <c r="Q55" i="7" s="1"/>
  <c r="B31" i="7"/>
  <c r="Q31" i="7" s="1"/>
  <c r="B30" i="7"/>
  <c r="Q30" i="7" s="1"/>
  <c r="B94" i="7"/>
  <c r="Q94" i="7" s="1"/>
  <c r="B77" i="7"/>
  <c r="Q77" i="7" s="1"/>
  <c r="B53" i="7"/>
  <c r="Q53" i="7" s="1"/>
  <c r="B29" i="7"/>
  <c r="Q29" i="7" s="1"/>
  <c r="B98" i="7"/>
  <c r="Q98" i="7" s="1"/>
  <c r="B78" i="7"/>
  <c r="Q78" i="7" s="1"/>
  <c r="B54" i="7"/>
  <c r="Q54" i="7" s="1"/>
  <c r="B93" i="7"/>
  <c r="Q93" i="7" s="1"/>
  <c r="B70" i="7"/>
  <c r="Q70" i="7" s="1"/>
  <c r="B46" i="7"/>
  <c r="Q46" i="7" s="1"/>
  <c r="B22" i="7"/>
  <c r="Q22" i="7" s="1"/>
  <c r="B74" i="7"/>
  <c r="Q74" i="7" s="1"/>
  <c r="B95" i="7"/>
  <c r="Q95" i="7" s="1"/>
  <c r="B83" i="7"/>
  <c r="Q83" i="7" s="1"/>
  <c r="B71" i="7"/>
  <c r="Q71" i="7" s="1"/>
  <c r="B59" i="7"/>
  <c r="Q59" i="7" s="1"/>
  <c r="B47" i="7"/>
  <c r="Q47" i="7" s="1"/>
  <c r="B35" i="7"/>
  <c r="Q35" i="7" s="1"/>
  <c r="B23" i="7"/>
  <c r="Q23" i="7" s="1"/>
  <c r="B11" i="7"/>
  <c r="Q11" i="7" s="1"/>
  <c r="B8" i="7"/>
  <c r="Q8" i="7" s="1"/>
  <c r="B7" i="7"/>
  <c r="Q7" i="7" s="1"/>
  <c r="B6" i="7"/>
  <c r="Q6" i="7" s="1"/>
  <c r="B5" i="7"/>
  <c r="Q5" i="7" s="1"/>
  <c r="B4" i="7"/>
  <c r="Q4" i="7" s="1"/>
  <c r="B88" i="7"/>
  <c r="Q88" i="7" s="1"/>
  <c r="B76" i="7"/>
  <c r="Q76" i="7" s="1"/>
  <c r="B64" i="7"/>
  <c r="Q64" i="7" s="1"/>
  <c r="B52" i="7"/>
  <c r="Q52" i="7" s="1"/>
  <c r="B40" i="7"/>
  <c r="Q40" i="7" s="1"/>
  <c r="B28" i="7"/>
  <c r="Q28" i="7" s="1"/>
  <c r="B16" i="7"/>
  <c r="Q16" i="7" s="1"/>
  <c r="B3" i="7"/>
  <c r="Q3" i="7" s="1"/>
  <c r="B87" i="7"/>
  <c r="Q87" i="7" s="1"/>
  <c r="B75" i="7"/>
  <c r="Q75" i="7" s="1"/>
  <c r="B63" i="7"/>
  <c r="Q63" i="7" s="1"/>
  <c r="B51" i="7"/>
  <c r="Q51" i="7" s="1"/>
  <c r="B39" i="7"/>
  <c r="Q39" i="7" s="1"/>
  <c r="B27" i="7"/>
  <c r="Q27" i="7" s="1"/>
  <c r="B15" i="7"/>
  <c r="Q15" i="7" s="1"/>
  <c r="B62" i="7"/>
  <c r="Q62" i="7" s="1"/>
  <c r="B50" i="7"/>
  <c r="Q50" i="7" s="1"/>
  <c r="B38" i="7"/>
  <c r="Q38" i="7" s="1"/>
  <c r="B26" i="7"/>
  <c r="Q26" i="7" s="1"/>
  <c r="B14" i="7"/>
  <c r="Q14" i="7" s="1"/>
  <c r="B97" i="7"/>
  <c r="Q97" i="7" s="1"/>
  <c r="B85" i="7"/>
  <c r="Q85" i="7" s="1"/>
  <c r="B73" i="7"/>
  <c r="Q73" i="7" s="1"/>
  <c r="B61" i="7"/>
  <c r="Q61" i="7" s="1"/>
  <c r="B49" i="7"/>
  <c r="Q49" i="7" s="1"/>
  <c r="B37" i="7"/>
  <c r="Q37" i="7" s="1"/>
  <c r="B25" i="7"/>
  <c r="Q25" i="7" s="1"/>
  <c r="B96" i="7"/>
  <c r="Q96" i="7" s="1"/>
  <c r="B84" i="7"/>
  <c r="Q84" i="7" s="1"/>
  <c r="B72" i="7"/>
  <c r="Q72" i="7" s="1"/>
  <c r="B60" i="7"/>
  <c r="Q60" i="7" s="1"/>
  <c r="B48" i="7"/>
  <c r="Q48" i="7" s="1"/>
  <c r="B36" i="7"/>
  <c r="Q36" i="7" s="1"/>
  <c r="B24" i="7"/>
  <c r="Q24" i="7" s="1"/>
  <c r="H27" i="5" l="1"/>
  <c r="I29" i="5"/>
  <c r="I27" i="5"/>
  <c r="I28" i="5"/>
  <c r="H28" i="5"/>
  <c r="I31" i="5"/>
  <c r="H31" i="5"/>
  <c r="I30" i="5"/>
  <c r="H30" i="5"/>
  <c r="H29" i="5"/>
  <c r="W28" i="5"/>
  <c r="W29" i="5"/>
  <c r="W30" i="5"/>
  <c r="W31" i="5"/>
  <c r="W27" i="5"/>
  <c r="C22" i="2"/>
  <c r="H61" i="5" s="1"/>
  <c r="C21" i="2"/>
  <c r="C20" i="2"/>
  <c r="C9" i="2"/>
  <c r="C10" i="2"/>
  <c r="C11" i="2"/>
  <c r="C12" i="2"/>
  <c r="C13" i="2"/>
  <c r="C14" i="2"/>
  <c r="C15" i="2"/>
  <c r="C16" i="2"/>
  <c r="C17" i="2"/>
  <c r="C18" i="2"/>
  <c r="C19" i="2"/>
  <c r="C8" i="2"/>
  <c r="C7" i="2"/>
  <c r="M2" i="5" s="1"/>
  <c r="B18" i="5" l="1"/>
  <c r="B16" i="5"/>
  <c r="B14" i="5"/>
  <c r="B12" i="5"/>
  <c r="B10" i="5"/>
  <c r="B9" i="5"/>
  <c r="B17" i="5"/>
  <c r="B15" i="5"/>
  <c r="B13" i="5"/>
  <c r="B20" i="5"/>
  <c r="B22" i="5"/>
  <c r="B21" i="5"/>
  <c r="B19" i="5"/>
  <c r="B31" i="5"/>
  <c r="Q2" i="11"/>
  <c r="Q2" i="10"/>
  <c r="R30" i="10"/>
  <c r="L2" i="1"/>
  <c r="C8" i="11"/>
  <c r="C6" i="2"/>
  <c r="C3" i="2"/>
  <c r="I8" i="1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<sst xmlns="http://schemas.openxmlformats.org/spreadsheetml/2006/main" count="1253" uniqueCount="866">
  <si>
    <t>CZ</t>
  </si>
  <si>
    <t>SK</t>
  </si>
  <si>
    <t>PL</t>
  </si>
  <si>
    <t>HU</t>
  </si>
  <si>
    <t>EN</t>
  </si>
  <si>
    <t>česky</t>
  </si>
  <si>
    <t>slovensky</t>
  </si>
  <si>
    <t>polsky</t>
  </si>
  <si>
    <t>madarsky</t>
  </si>
  <si>
    <t>anglicky</t>
  </si>
  <si>
    <t>Úvod</t>
  </si>
  <si>
    <t>Zásuvky s čelom</t>
  </si>
  <si>
    <t>Vnútorné zásuvky</t>
  </si>
  <si>
    <t>Vnitřní zásuvky</t>
  </si>
  <si>
    <t>Výška korpusu (A)</t>
  </si>
  <si>
    <t>Šířka korpusu (B)</t>
  </si>
  <si>
    <t>Tloušťka dna a půdy (C)</t>
  </si>
  <si>
    <t>Tloušťka boků (D)</t>
  </si>
  <si>
    <t>Mezera mezi čely (F)</t>
  </si>
  <si>
    <t>Mezera nahoře (E)</t>
  </si>
  <si>
    <t>Mezera dole (G)</t>
  </si>
  <si>
    <t>Mezera na stranách (H)</t>
  </si>
  <si>
    <t>Délka výsuvů (I)</t>
  </si>
  <si>
    <t>Počet zásuvek</t>
  </si>
  <si>
    <t>Bude čelo s úchytovým profilem?</t>
  </si>
  <si>
    <t>ano</t>
  </si>
  <si>
    <t>Výška úchytového profilu v mm (J)</t>
  </si>
  <si>
    <t>ne</t>
  </si>
  <si>
    <t>Pozice výsuvu</t>
  </si>
  <si>
    <t>1. zásuvka</t>
  </si>
  <si>
    <t>2. zásuvka</t>
  </si>
  <si>
    <t>3. zásuvka</t>
  </si>
  <si>
    <t>4. zásuvka</t>
  </si>
  <si>
    <t>5. zásuvka</t>
  </si>
  <si>
    <t>odečet od celkové výšky</t>
  </si>
  <si>
    <t>výška úchytového profilu</t>
  </si>
  <si>
    <t>S*</t>
  </si>
  <si>
    <t>K-StrongMax 18 185/350mm 40kg, černá</t>
  </si>
  <si>
    <t>O</t>
  </si>
  <si>
    <t>K-StrongMax 18 89/300mm 40kg, tmavě šedá</t>
  </si>
  <si>
    <t>K-StrongMax 18 89/350mm 40kg, tmavě šedá</t>
  </si>
  <si>
    <t>K-StrongMax 18 89/400mm 40kg, tmavě šedá</t>
  </si>
  <si>
    <t>K-StrongMax 18 89/450mm 40kg, tmavě šedá</t>
  </si>
  <si>
    <t>K-StrongMax 18 89/500mm 40kg, tmavě šedá</t>
  </si>
  <si>
    <t>K-StrongMax 18 89/550mm 40kg, tmavě šedá</t>
  </si>
  <si>
    <t>K-StrongMax 18 89/600mm 40kg, tmavě šedá</t>
  </si>
  <si>
    <t>K-StrongMax 18 89/650mm 40kg, tmavě šedá</t>
  </si>
  <si>
    <t>K-StrongMax 18 121/300mm 40kg, tmavě šedá</t>
  </si>
  <si>
    <t>K-StrongMax 18 121/350mm 40kg, tmavě šedá</t>
  </si>
  <si>
    <t>K-StrongMax 18 121/400mm 40kg, tmavě šedá</t>
  </si>
  <si>
    <t>K-StrongMax 18 121/450mm 40kg, tmavě šedá</t>
  </si>
  <si>
    <t>K-StrongMax 18 121/500mm 40kg, tmavě šedá</t>
  </si>
  <si>
    <t>K-StrongMax 18 121/550mm 40kg, tmavě šedá</t>
  </si>
  <si>
    <t>K-StrongMax 18 121/600mm 40kg, tmavě šedá</t>
  </si>
  <si>
    <t>K-StrongMax 18 121/650mm 40kg, tmavě šedá</t>
  </si>
  <si>
    <t>K-StrongMax 18 185/300mm 40kg, tmavě šedá</t>
  </si>
  <si>
    <t>K-StrongMax 18 185/350mm 40kg, tmavě šedá</t>
  </si>
  <si>
    <t>K-StrongMax 18 185/400mm 40kg, tmavě šedá</t>
  </si>
  <si>
    <t>K-StrongMax 18 185/450mm 40kg, tmavě šedá</t>
  </si>
  <si>
    <t>K-StrongMax 18 185/500mm 40kg, tmavě šedá</t>
  </si>
  <si>
    <t>K-StrongMax 18 185/550mm 40kg, tmavě šedá</t>
  </si>
  <si>
    <t>K-StrongMax 18 185/600mm 40kg, tmavě šedá</t>
  </si>
  <si>
    <t>K-StrongMax 18 185/650mm 40kg, tmavě šedá</t>
  </si>
  <si>
    <t>K-StrongMax 18 249/450mm 40kg, tmavě šedá</t>
  </si>
  <si>
    <t>K-StrongMax 18 249/500mm 40kg, tmavě šedá</t>
  </si>
  <si>
    <t>K-StrongMax 18 249/550mm 40kg, tmavě šedá</t>
  </si>
  <si>
    <t>K-StrongMax 18 249/600mm 40kg, tmavě šedá</t>
  </si>
  <si>
    <t>K-StrongMax 18 249/650mm 40kg, tmavě šedá</t>
  </si>
  <si>
    <t>K-StrongMax 18 185/450mm 40kg, prosklené bočnice, tmavě šedá</t>
  </si>
  <si>
    <t>K-StrongMax 18 185/500mm 40kg, prosklené bočnice, tmavě šedá</t>
  </si>
  <si>
    <t>K-StrongMax 18 185/550mm 40kg, prosklené bočnice, tmavě šedá</t>
  </si>
  <si>
    <t>K-StrongMax 18 89/300mm 40kg, bílá</t>
  </si>
  <si>
    <t>K-StrongMax 18 89/350mm 40kg, bílá</t>
  </si>
  <si>
    <t>K-StrongMax 18 89/400mm 40kg, bílá</t>
  </si>
  <si>
    <t>K-StrongMax 18 89/450mm 40kg, bílá</t>
  </si>
  <si>
    <t>K-StrongMax 18 89/500mm 40kg, bílá</t>
  </si>
  <si>
    <t>K-StrongMax 18 89/550mm 40kg, bílá</t>
  </si>
  <si>
    <t>K-StrongMax 18 89/600mm 40kg, bílá</t>
  </si>
  <si>
    <t>K-StrongMax 18 89/650mm 40kg, bílá</t>
  </si>
  <si>
    <t>K-StrongMax 18 121/300mm 40kg, bílá</t>
  </si>
  <si>
    <t>K-StrongMax 18 121/350mm 40kg, bílá</t>
  </si>
  <si>
    <t>K-StrongMax 18 121/400mm 40kg, bílá</t>
  </si>
  <si>
    <t>K-StrongMax 18 121/450mm 40kg, bílá</t>
  </si>
  <si>
    <t>K-StrongMax 18 121/500mm 40kg, bílá</t>
  </si>
  <si>
    <t>K-StrongMax 18 121/550mm 40kg, bílá</t>
  </si>
  <si>
    <t>K-StrongMax 18 121/600mm 40kg, bílá</t>
  </si>
  <si>
    <t>K-StrongMax 18 121/650mm 40kg, bílá</t>
  </si>
  <si>
    <t>K-StrongMax 18 185/300mm 40kg, bílá</t>
  </si>
  <si>
    <t>K-StrongMax 18 185/350mm 40kg, bílá</t>
  </si>
  <si>
    <t>K-StrongMax 18 185/400mm 40kg, bílá</t>
  </si>
  <si>
    <t>K-StrongMax 18 185/450mm 40kg, bílá</t>
  </si>
  <si>
    <t>K-StrongMax 18 185/500mm 40kg, bílá</t>
  </si>
  <si>
    <t>K-StrongMax 18 185/550mm 40kg, bílá</t>
  </si>
  <si>
    <t>K-StrongMax 18 185/600mm 40kg, bílá</t>
  </si>
  <si>
    <t>K-StrongMax 18 185/650mm 40kg, bílá</t>
  </si>
  <si>
    <t>K-StrongMax 18 249/450mm 40kg, bílá</t>
  </si>
  <si>
    <t>K-StrongMax 18 249/500mm 40kg, bílá</t>
  </si>
  <si>
    <t>K-StrongMax 18 249/550mm 40kg, bílá</t>
  </si>
  <si>
    <t>K-StrongMax 18 249/600mm 40kg, bílá</t>
  </si>
  <si>
    <t>K-StrongMax 18 249/650mm 40kg, bílá</t>
  </si>
  <si>
    <t>K-StrongMax 18 185/450mm 40kg, prosklené bočnice, bílá</t>
  </si>
  <si>
    <t>K-StrongMax 18 185/500mm 40kg, prosklené bočnice, bílá</t>
  </si>
  <si>
    <t>K-StrongMax 18 185/550mm 40kg, prosklené bočnice, bílá</t>
  </si>
  <si>
    <t>K-StrongMax 18 89/450mm 40kg, černá</t>
  </si>
  <si>
    <t>K-StrongMax 18 89/500mm 40kg, černá</t>
  </si>
  <si>
    <t>K-StrongMax 18 121/450mm 40kg, černá</t>
  </si>
  <si>
    <t>K-StrongMax 18 121/500mm 40kg, černá</t>
  </si>
  <si>
    <t>K-StrongMax 18 185/450mm 40kg, černá</t>
  </si>
  <si>
    <t>K-StrongMax 18 185/500mm 40kg, černá</t>
  </si>
  <si>
    <t>K-StrongMax 18 249/450mm 40kg, černá</t>
  </si>
  <si>
    <t>K-StrongMax 18 249/500mm 40kg, černá</t>
  </si>
  <si>
    <t>K-StrongMax 18 185/450mm 40kg, prosklené bočnice, černá</t>
  </si>
  <si>
    <t>K-StrongMax 18 185/500mm 40kg, prosklené bočnice, černá</t>
  </si>
  <si>
    <t>K-StrongMax 18 121/300mm 40kg, černá</t>
  </si>
  <si>
    <t>K-StrongMax 18 121/350mm 40kg, černá</t>
  </si>
  <si>
    <t>K-StrongMax 18 121/400mm 40kg, černá</t>
  </si>
  <si>
    <t>K-StrongMax 18 121/550mm 40kg, černá</t>
  </si>
  <si>
    <t>K-StrongMax 18 121/600mm 40kg, černá</t>
  </si>
  <si>
    <t>K-StrongMax 18 121/650mm 40kg, černá</t>
  </si>
  <si>
    <t>K-StrongMax 18 185/300mm 40kg, černá</t>
  </si>
  <si>
    <t>K-StrongMax 18 185/400mm 40kg, černá</t>
  </si>
  <si>
    <t>K-StrongMax 18 185/550mm 40kg, černá</t>
  </si>
  <si>
    <t>K-StrongMax 18 185/550mm 40kg, prosklené bočnice, černá</t>
  </si>
  <si>
    <t>K-StrongMax 18 185/600mm 40kg, černá</t>
  </si>
  <si>
    <t>K-StrongMax 18 185/650mm 40kg, černá</t>
  </si>
  <si>
    <t>K-StrongMax 18 249/550mm 40kg, černá</t>
  </si>
  <si>
    <t>K-StrongMax 18 249/600mm 40kg, černá</t>
  </si>
  <si>
    <t>K-StrongMax 18 249/650mm 40kg, černá</t>
  </si>
  <si>
    <t>K-StrongMax 18 89/300mm 40kg, černá</t>
  </si>
  <si>
    <t>K-StrongMax 18 89/350mm 40kg, černá</t>
  </si>
  <si>
    <t>K-StrongMax 18 89/400mm 40kg, černá</t>
  </si>
  <si>
    <t>K-StrongMax 18 89/550mm 40kg, černá</t>
  </si>
  <si>
    <t>K-StrongMax 18 89/600mm 40kg, černá</t>
  </si>
  <si>
    <t>K-StrongMax 18 89/650mm 40kg, černá</t>
  </si>
  <si>
    <t>Kód</t>
  </si>
  <si>
    <t>503030</t>
  </si>
  <si>
    <t>503031</t>
  </si>
  <si>
    <t>503032</t>
  </si>
  <si>
    <t>503033</t>
  </si>
  <si>
    <t>503034</t>
  </si>
  <si>
    <t>503035</t>
  </si>
  <si>
    <t>503036</t>
  </si>
  <si>
    <t>503037</t>
  </si>
  <si>
    <t>503038</t>
  </si>
  <si>
    <t>503039</t>
  </si>
  <si>
    <t>503040</t>
  </si>
  <si>
    <t>503041</t>
  </si>
  <si>
    <t>503042</t>
  </si>
  <si>
    <t>503043</t>
  </si>
  <si>
    <t>503044</t>
  </si>
  <si>
    <t>503045</t>
  </si>
  <si>
    <t>503046</t>
  </si>
  <si>
    <t>503047</t>
  </si>
  <si>
    <t>503048</t>
  </si>
  <si>
    <t>503049</t>
  </si>
  <si>
    <t>503050</t>
  </si>
  <si>
    <t>503051</t>
  </si>
  <si>
    <t>503052</t>
  </si>
  <si>
    <t>503053</t>
  </si>
  <si>
    <t>503054</t>
  </si>
  <si>
    <t>503055</t>
  </si>
  <si>
    <t>503056</t>
  </si>
  <si>
    <t>503057</t>
  </si>
  <si>
    <t>503058</t>
  </si>
  <si>
    <t>503059</t>
  </si>
  <si>
    <t>503060</t>
  </si>
  <si>
    <t>503061</t>
  </si>
  <si>
    <t>503062</t>
  </si>
  <si>
    <t>503063</t>
  </si>
  <si>
    <t>503064</t>
  </si>
  <si>
    <t>503065</t>
  </si>
  <si>
    <t>503066</t>
  </si>
  <si>
    <t>503067</t>
  </si>
  <si>
    <t>503068</t>
  </si>
  <si>
    <t>503069</t>
  </si>
  <si>
    <t>503070</t>
  </si>
  <si>
    <t>503071</t>
  </si>
  <si>
    <t>503072</t>
  </si>
  <si>
    <t>503073</t>
  </si>
  <si>
    <t>503074</t>
  </si>
  <si>
    <t>503075</t>
  </si>
  <si>
    <t>503076</t>
  </si>
  <si>
    <t>503077</t>
  </si>
  <si>
    <t>503078</t>
  </si>
  <si>
    <t>503079</t>
  </si>
  <si>
    <t>503080</t>
  </si>
  <si>
    <t>503081</t>
  </si>
  <si>
    <t>503082</t>
  </si>
  <si>
    <t>503083</t>
  </si>
  <si>
    <t>503084</t>
  </si>
  <si>
    <t>503085</t>
  </si>
  <si>
    <t>503086</t>
  </si>
  <si>
    <t>503087</t>
  </si>
  <si>
    <t>503088</t>
  </si>
  <si>
    <t>503089</t>
  </si>
  <si>
    <t>503090</t>
  </si>
  <si>
    <t>503091</t>
  </si>
  <si>
    <t>503092</t>
  </si>
  <si>
    <t>503093</t>
  </si>
  <si>
    <t>503094</t>
  </si>
  <si>
    <t>503095</t>
  </si>
  <si>
    <t>503096</t>
  </si>
  <si>
    <t>503097</t>
  </si>
  <si>
    <t>503098</t>
  </si>
  <si>
    <t>503099</t>
  </si>
  <si>
    <t>503100</t>
  </si>
  <si>
    <t>503101</t>
  </si>
  <si>
    <t>503102</t>
  </si>
  <si>
    <t>503103</t>
  </si>
  <si>
    <t>512027</t>
  </si>
  <si>
    <t>512028</t>
  </si>
  <si>
    <t>512029</t>
  </si>
  <si>
    <t>512030</t>
  </si>
  <si>
    <t>512031</t>
  </si>
  <si>
    <t>512032</t>
  </si>
  <si>
    <t>512033</t>
  </si>
  <si>
    <t>512034</t>
  </si>
  <si>
    <t>512035</t>
  </si>
  <si>
    <t>512036</t>
  </si>
  <si>
    <t>512037</t>
  </si>
  <si>
    <t>512038</t>
  </si>
  <si>
    <t>512039</t>
  </si>
  <si>
    <t>512040</t>
  </si>
  <si>
    <t>512041</t>
  </si>
  <si>
    <t>512042</t>
  </si>
  <si>
    <t>512043</t>
  </si>
  <si>
    <t>512044</t>
  </si>
  <si>
    <t>512045</t>
  </si>
  <si>
    <t>512046</t>
  </si>
  <si>
    <t>512047</t>
  </si>
  <si>
    <t>512048</t>
  </si>
  <si>
    <t>K-StrongMax 18 185/350mm 40kg, čierna</t>
  </si>
  <si>
    <t>K-StrongMax 18 89/300mm 40kg, tmavosivá</t>
  </si>
  <si>
    <t>K-StrongMax 18 89/350mm 40kg, tmavosivá</t>
  </si>
  <si>
    <t>K-StrongMax 18 89/400mm 40kg, tmavosivá</t>
  </si>
  <si>
    <t>K-StrongMax 18 89/450mm 40kg, tmavosivá</t>
  </si>
  <si>
    <t>K-StrongMax 18 89/500mm 40kg, tmavosivá</t>
  </si>
  <si>
    <t>K-StrongMax 18 89/550mm 40kg, tmavosivá</t>
  </si>
  <si>
    <t>K-StrongMax 18 89/600mm 40kg, tmavosivá</t>
  </si>
  <si>
    <t>K-StrongMax 18 89/650mm 40kg, tmavosivá</t>
  </si>
  <si>
    <t>K-StrongMax 18 121/300mm 40kg, tmavosivá</t>
  </si>
  <si>
    <t>K-StrongMax 18 121/350mm 40kg, tmavosivá</t>
  </si>
  <si>
    <t>K-StrongMax 18 121/400mm 40kg, tmavosivá</t>
  </si>
  <si>
    <t>K-StrongMax 18 121/450mm 40kg, tmavosivá</t>
  </si>
  <si>
    <t>K-StrongMax 18 121/500mm 40kg, tmavosivá</t>
  </si>
  <si>
    <t>K-StrongMax 18 121/550mm 40kg, tmavosivá</t>
  </si>
  <si>
    <t>K-StrongMax 18 121/600mm 40kg, tmavosivá</t>
  </si>
  <si>
    <t>K-StrongMax 18 121/650mm 40kg, tmavosivá</t>
  </si>
  <si>
    <t>K-StrongMax 18 185/300mm 40kg, tmavosivá</t>
  </si>
  <si>
    <t>K-StrongMax 18 185/350mm 40kg, tmavosivá</t>
  </si>
  <si>
    <t>K-StrongMax 18 185/400mm 40kg, tmavosivá</t>
  </si>
  <si>
    <t>K-StrongMax 18 185/450mm 40kg, tmavosivá</t>
  </si>
  <si>
    <t>K-StrongMax 18 185/500mm 40kg, tmavosivá</t>
  </si>
  <si>
    <t>K-StrongMax 18 185/550mm 40kg, tmavosivá</t>
  </si>
  <si>
    <t>K-StrongMax 18 185/600mm 40kg, tmavosivá</t>
  </si>
  <si>
    <t>K-StrongMax 18 185/650mm 40kg, tmavosivá</t>
  </si>
  <si>
    <t>K-StrongMax 18 249/450mm 40kg, tmavosivá</t>
  </si>
  <si>
    <t>K-StrongMax 18 249/500mm 40kg, tmavosivá</t>
  </si>
  <si>
    <t>K-StrongMax 18 249/550mm 40kg, tmavosivá</t>
  </si>
  <si>
    <t>K-StrongMax 18 249/600mm 40kg, tmavosivá</t>
  </si>
  <si>
    <t>K-StrongMax 18 249/650mm 40kg, tmavosivá</t>
  </si>
  <si>
    <t>K-StrongMax 18 185/450mm 40kg, presklená bočnica, tmavosivá</t>
  </si>
  <si>
    <t>K-StrongMax 18 185/500mm 40kg, presklená bočnica, tmavosivá</t>
  </si>
  <si>
    <t>K-StrongMax 18 185/550mm 40kg, presklená bočnica, tmavosivá</t>
  </si>
  <si>
    <t>K-StrongMax 18 89/300mm 40kg, biela</t>
  </si>
  <si>
    <t>K-StrongMax 18 89/350mm 40kg, biela</t>
  </si>
  <si>
    <t>K-StrongMax 18 89/400mm 40kg, biela</t>
  </si>
  <si>
    <t>K-StrongMax 18 89/450mm 40kg, biela</t>
  </si>
  <si>
    <t>K-StrongMax 18 89/500mm 40kg, biela</t>
  </si>
  <si>
    <t>K-StrongMax 18 89/550mm 40kg, biela</t>
  </si>
  <si>
    <t>K-StrongMax 18 89/600mm 40kg, biela</t>
  </si>
  <si>
    <t>K-StrongMax 18 89/650mm 40kg, biela</t>
  </si>
  <si>
    <t>K-StrongMax 18 121/300mm 40kg, biela</t>
  </si>
  <si>
    <t>K-StrongMax 18 121/350mm 40kg, biela</t>
  </si>
  <si>
    <t>K-StrongMax 18 121/400mm 40kg, biela</t>
  </si>
  <si>
    <t>K-StrongMax 18 121/450mm 40kg, biela</t>
  </si>
  <si>
    <t>K-StrongMax 18 121/500mm 40kg, biela</t>
  </si>
  <si>
    <t>K-StrongMax 18 121/550mm 40kg, biela</t>
  </si>
  <si>
    <t>K-StrongMax 18 121/600mm 40kg, biela</t>
  </si>
  <si>
    <t>K-StrongMax 18 121/650mm 40kg, biela</t>
  </si>
  <si>
    <t>K-StrongMax 18 185/300mm 40kg, biela</t>
  </si>
  <si>
    <t>K-StrongMax 18 185/350mm 40kg, biela</t>
  </si>
  <si>
    <t>K-StrongMax 18 185/400mm 40kg, biela</t>
  </si>
  <si>
    <t>K-StrongMax 18 185/450mm 40kg, biela</t>
  </si>
  <si>
    <t>K-StrongMax 18 185/500mm 40kg, biela</t>
  </si>
  <si>
    <t>K-StrongMax 18 185/550mm 40kg, biela</t>
  </si>
  <si>
    <t>K-StrongMax 18 185/600mm 40kg, biela</t>
  </si>
  <si>
    <t>K-StrongMax 18 185/650mm 40kg, biela</t>
  </si>
  <si>
    <t>K-StrongMax 18 249/450mm 40kg, biela</t>
  </si>
  <si>
    <t>K-StrongMax 18 249/500mm 40kg, biela</t>
  </si>
  <si>
    <t>K-StrongMax 18 249/550mm 40kg, biela</t>
  </si>
  <si>
    <t>K-StrongMax 18 249/600mm 40kg, biela</t>
  </si>
  <si>
    <t>K-StrongMax 18 249/650mm 40kg, biela</t>
  </si>
  <si>
    <t>K-StrongMax 18 185/450mm 40kg, presklená bočnica, biela</t>
  </si>
  <si>
    <t>K-StrongMax 18 185/500mm 40kg, presklená bočnica, biela</t>
  </si>
  <si>
    <t>K-StrongMax 18 185/550mm 40kg, presklená bočnica, biela</t>
  </si>
  <si>
    <t>K-StrongMax 18 89/450mm 40kg, čierna</t>
  </si>
  <si>
    <t>K-StrongMax 18 89/500mm 40kg, čierna</t>
  </si>
  <si>
    <t>K-StrongMax 18 121/450mm 40kg, čierna</t>
  </si>
  <si>
    <t>K-StrongMax 18 121/500mm 40kg, čierna</t>
  </si>
  <si>
    <t>K-StrongMax 18 185/450mm 40kg, čierna</t>
  </si>
  <si>
    <t>K-StrongMax 18 185/500mm 40kg, čierna</t>
  </si>
  <si>
    <t>K-StrongMax 18 249/450mm 40kg, čierna</t>
  </si>
  <si>
    <t>K-StrongMax 18 249/500mm 40kg, čierna</t>
  </si>
  <si>
    <t>K-StrongMax 18 185/450mm 40kg, presklená bočnica, čierna</t>
  </si>
  <si>
    <t>K-StrongMax 18 185/500mm 40kg, presklená bočnica, čierna</t>
  </si>
  <si>
    <t>K-StrongMax 18 121/300mm 40kg,čierna</t>
  </si>
  <si>
    <t>K-StrongMax 18 121/350mm 40kg, čierna</t>
  </si>
  <si>
    <t>K-StrongMax 18 121/400mm 40kg, čierna</t>
  </si>
  <si>
    <t>K-StrongMax 18 121/550mm 440kg, čierna</t>
  </si>
  <si>
    <t>K-StrongMax 18 121/600mm 40kg,čierna</t>
  </si>
  <si>
    <t>K-StrongMax 18 121/650mm 40kg, čierna</t>
  </si>
  <si>
    <t>K-StrongMax 18 185/300mm 40kg, čierna</t>
  </si>
  <si>
    <t>K-StrongMax 18 185/400mm 40kg, čierna</t>
  </si>
  <si>
    <t>K-StrongMax 18 185/550mm 40kg, čierna</t>
  </si>
  <si>
    <t>K-StrongMax 18 185/550mm 40kg,presklenné bočnice,čierna</t>
  </si>
  <si>
    <t>K-StrongMax 18 185/600mm 40kg, čierna</t>
  </si>
  <si>
    <t>K-StrongMax 18 185/650mm 40kg, čierna</t>
  </si>
  <si>
    <t>K-StrongMax 18 249/550mm 40kt, čierna</t>
  </si>
  <si>
    <t>K-StrongMax 18 249/600mm 40kg, čierna</t>
  </si>
  <si>
    <t>K-StrongMax 18 249/650mm 40kg, čierna</t>
  </si>
  <si>
    <t>K-StrongMax 18 89/300mm 40kg, čierna</t>
  </si>
  <si>
    <t>K-StrongMax 18 89/350mm 40kg, čierna</t>
  </si>
  <si>
    <t>K-StrongMax 18 89/400mm 40kg, čierna</t>
  </si>
  <si>
    <t>K-StrongMax 18 89/550mm 40kg, čierna</t>
  </si>
  <si>
    <t>K-StrongMax 18 89/600mm 40kg, čierna</t>
  </si>
  <si>
    <t>K-StrongMax 18 89/650mm 40kg, čierna</t>
  </si>
  <si>
    <t>Dodání</t>
  </si>
  <si>
    <t>K-StrongMax 18 89/300mm 40kg, ciemnoszary</t>
  </si>
  <si>
    <t>K-StrongMax 18 89/350mm 40kg, ciemnoszary</t>
  </si>
  <si>
    <t>K-StrongMax 18 89/400mm 40kg, ciemnoszary</t>
  </si>
  <si>
    <t>K-StrongMax 18 89/450mm 40kg, ciemnoszary</t>
  </si>
  <si>
    <t>K-StrongMax 18 89/500mm 40kg, ciemnoszary</t>
  </si>
  <si>
    <t>K-StrongMax 18 89/550mm 40kg, ciemnoszary</t>
  </si>
  <si>
    <t>K-StrongMax 18 89/600mm 40kg, ciemnoszary</t>
  </si>
  <si>
    <t>K-StrongMax 18 89/650mm 40kg, ciemnoszary</t>
  </si>
  <si>
    <t>K-StrongMax 18 121/300mm 40kg, ciemnoszary</t>
  </si>
  <si>
    <t>K-StrongMax 18 121/350mm 40kg, ciemnoszary</t>
  </si>
  <si>
    <t>K-StrongMax 18 121/400mm 40kg, ciemnoszary</t>
  </si>
  <si>
    <t>K-StrongMax 18 121/450mm 40kg, ciemnoszary</t>
  </si>
  <si>
    <t>K-StrongMax 18 121/500mm 40kg, ciemnoszary</t>
  </si>
  <si>
    <t>K-StrongMax 18 121/550mm 40kg, ciemnoszary</t>
  </si>
  <si>
    <t>K-StrongMax 18 121/600mm 40kg, ciemnoszary</t>
  </si>
  <si>
    <t>K-StrongMax 18 121/650mm 40kg, ciemnoszary</t>
  </si>
  <si>
    <t>K-StrongMax 18 185/300mm 40kg, ciemnoszary</t>
  </si>
  <si>
    <t>K-StrongMax 18 185/350mm 40kg, ciemnoszary</t>
  </si>
  <si>
    <t>K-StrongMax 18 185/400mm 40kg, ciemnoszary</t>
  </si>
  <si>
    <t>K-StrongMax 18 185/450mm 40kg, ciemnoszary</t>
  </si>
  <si>
    <t>K-StrongMax 18 185/500mm 40kg, ciemnoszary</t>
  </si>
  <si>
    <t>K-StrongMax 18 185/550mm 40kg, ciemnoszary</t>
  </si>
  <si>
    <t>K-StrongMax 18 185/600mm 40kg, ciemnoszary</t>
  </si>
  <si>
    <t>K-StrongMax 18 185/650mm 40kg, ciemnoszary</t>
  </si>
  <si>
    <t>K-StrongMax 18 249/450mm 40kg, ciemnoszary</t>
  </si>
  <si>
    <t>K-StrongMax 18 249/500mm 40kg, ciemnoszary</t>
  </si>
  <si>
    <t>K-StrongMax 18 249/550mm 40kg, ciemnoszary</t>
  </si>
  <si>
    <t>K-StrongMax 18 249/600mm 40kg, ciemnoszary</t>
  </si>
  <si>
    <t>K-StrongMax 18 249/650mm 40kg, ciemnoszary</t>
  </si>
  <si>
    <t>K-StrongMax 18 185/450mm 40kg, przeszklone boki, ciemnoszary</t>
  </si>
  <si>
    <t>K-StrongMax 18 185/500mm 40kg, przeszklone boki, ciemnoszary</t>
  </si>
  <si>
    <t>K-StrongMax 18 185/550mm 40kg, przeszklone boki, ciemnoszary</t>
  </si>
  <si>
    <t>K-StrongMax 18 89/300mm 40kg, biały</t>
  </si>
  <si>
    <t>K-StrongMax 18 89/350mm 40kg, biały</t>
  </si>
  <si>
    <t>K-StrongMax 18 89/400mm 40kg, biały</t>
  </si>
  <si>
    <t>K-StrongMax 18 89/450mm 40kg, biały</t>
  </si>
  <si>
    <t>K-StrongMax 18 89/500mm 40kg, biały</t>
  </si>
  <si>
    <t>K-StrongMax 18 89/550mm 40kg, biały</t>
  </si>
  <si>
    <t>K-StrongMax 18 89/600mm 40kg, biały</t>
  </si>
  <si>
    <t>K-StrongMax 18 89/650mm 40kg, biały</t>
  </si>
  <si>
    <t>K-StrongMax 18 121/300mm 40kg, biały</t>
  </si>
  <si>
    <t>K-StrongMax 18 121/350mm 40kg, biały</t>
  </si>
  <si>
    <t>K-StrongMax 18 121/400mm 40kg, biały</t>
  </si>
  <si>
    <t>K-StrongMax 18 121/450mm 40kg, biały</t>
  </si>
  <si>
    <t>K-StrongMax 18 121/500mm 40kg, biały</t>
  </si>
  <si>
    <t>K-StrongMax 18 121/550mm 40kg, biały</t>
  </si>
  <si>
    <t>K-StrongMax 18 121/600mm 40kg, biały</t>
  </si>
  <si>
    <t>K-StrongMax 18 121/650mm 40kg, biały</t>
  </si>
  <si>
    <t>K-StrongMax 18 185/300mm 40kg, biały</t>
  </si>
  <si>
    <t>K-StrongMax 18 185/350mm 40kg, biały</t>
  </si>
  <si>
    <t>K-StrongMax 18 185/400mm 40kg, biały</t>
  </si>
  <si>
    <t>K-StrongMax 18 185/450mm 40kg, biały</t>
  </si>
  <si>
    <t>K-StrongMax 18 185/500mm 40kg, biały</t>
  </si>
  <si>
    <t>K-StrongMax 18 185/550mm 40kg, biały</t>
  </si>
  <si>
    <t>K-StrongMax 18 185/600mm 40kg, biały</t>
  </si>
  <si>
    <t>K-StrongMax 18 185/650mm 40kg, biały</t>
  </si>
  <si>
    <t>K-StrongMax 18 249/450mm 40kg, biały</t>
  </si>
  <si>
    <t>K-StrongMax 18 249/500mm 40kg, biały</t>
  </si>
  <si>
    <t>K-StrongMax 18 249/550mm 40kg, biały</t>
  </si>
  <si>
    <t>K-StrongMax 18 249/600mm 40kg, biały</t>
  </si>
  <si>
    <t>K-StrongMax 18 249/650mm 40kg, biały</t>
  </si>
  <si>
    <t>K-StrongMax 18 185/450mm 40kg, przeszklone boki, biały</t>
  </si>
  <si>
    <t>K-StrongMax 18 185/500mm 40kg, przeszklone boki, biały</t>
  </si>
  <si>
    <t>K-StrongMax 18 185/550mm 40kg, przeszklone boki, biały</t>
  </si>
  <si>
    <t>K-StrongMax 18 89/450mm 40kg, czarny</t>
  </si>
  <si>
    <t>K-StrongMax 18 89/500mm 40kg, czarny</t>
  </si>
  <si>
    <t>K-StrongMax 18 121/450mm 40kg, czarny</t>
  </si>
  <si>
    <t>K-StrongMax 18 121/500mm 40kg, czarny</t>
  </si>
  <si>
    <t>K-StrongMax 18 185/450mm 40kg, czarny</t>
  </si>
  <si>
    <t>K-StrongMax 18 185/500mm 40kg, czarny</t>
  </si>
  <si>
    <t>K-StrongMax 18 249/450mm 40kg, czarny</t>
  </si>
  <si>
    <t>K-StrongMax 18 249/500mm 40kg, czarny</t>
  </si>
  <si>
    <t>K-StrongMax 18 185/450mm 40kg, przeszklone boki, czarny</t>
  </si>
  <si>
    <t>K-StrongMax 18 185/500mm 40kg, przeszklone boki, czarny</t>
  </si>
  <si>
    <t/>
  </si>
  <si>
    <t>K-StrongMax 18 89/300mm 40kg, sötétszürke</t>
  </si>
  <si>
    <t>K-StrongMax 18 89/350mm 40kg, sötétszürke</t>
  </si>
  <si>
    <t>K-StrongMax 18 89/400mm 40kg, sötétszürke</t>
  </si>
  <si>
    <t>K-StrongMax 18 89/450mm 40kg, sötétszürke</t>
  </si>
  <si>
    <t>K-StrongMax 18 89/500mm 40kg, sötétszürke</t>
  </si>
  <si>
    <t>K-StrongMax 18 89/550mm 40kg, sötétszürke</t>
  </si>
  <si>
    <t>K-StrongMax 18 89/600mm 40kg, sötétszürke</t>
  </si>
  <si>
    <t>K-StrongMax 18 89/650mm 40kg, sötétszürke</t>
  </si>
  <si>
    <t>K-StrongMax 18 121/300mm 40kg, sötétszürke</t>
  </si>
  <si>
    <t>K-StrongMax 18 121/350mm 40kg, sötétszürke</t>
  </si>
  <si>
    <t>K-StrongMax 18 121/400mm 40kg, sötétszürke</t>
  </si>
  <si>
    <t>K-StrongMax 18 121/450mm 40kg, sötétszürke</t>
  </si>
  <si>
    <t>K-StrongMax 18 121/500mm 40kg, sötétszürke</t>
  </si>
  <si>
    <t>K-StrongMax 18 121/550mm 40kg, sötétszürke</t>
  </si>
  <si>
    <t>K-StrongMax 18 121/600mm 40kg, sötétszürke</t>
  </si>
  <si>
    <t>K-StrongMax 18 121/650mm 40kg, sötétszürke</t>
  </si>
  <si>
    <t>K-StrongMax 18 185/300mm 40kg, sötétszürke</t>
  </si>
  <si>
    <t>K-StrongMax 18 185/350mm 40kg, sötétszürke</t>
  </si>
  <si>
    <t>K-StrongMax 18 185/400mm 40kg, sötétszürke</t>
  </si>
  <si>
    <t>K-StrongMax 18 185/450mm 40kg, sötétszürke</t>
  </si>
  <si>
    <t>K-StrongMax 18 185/500mm 40kg, sötétszürke</t>
  </si>
  <si>
    <t>K-StrongMax 18 185/550mm 40kg, sötétszürke</t>
  </si>
  <si>
    <t>K-StrongMax 18 185/600mm 40kg, sötétszürke</t>
  </si>
  <si>
    <t>K-StrongMax 18 185/650mm 40kg, sötétszürke</t>
  </si>
  <si>
    <t>K-StrongMax 18 249/450mm 40kg, sötétszürke</t>
  </si>
  <si>
    <t>K-StrongMax 18 249/500mm 40kg, sötétszürke</t>
  </si>
  <si>
    <t>K-StrongMax 18 249/550mm 40kg, sötétszürke</t>
  </si>
  <si>
    <t>K-StrongMax 18 249/600mm 40kg, sötétszürke</t>
  </si>
  <si>
    <t>K-StrongMax 18 249/650mm 40kg, sötétszürke</t>
  </si>
  <si>
    <t>K-StrongMax 18 185/450mm 40kg, üvegezett oldalak, sötétszürke</t>
  </si>
  <si>
    <t>K-StrongMax 18 185/500mm 40kg, üvegezett oldalak, sötétszürke</t>
  </si>
  <si>
    <t>K-StrongMax 18 185/550mm 40kg, üvegezett oldalak, sötétszürke</t>
  </si>
  <si>
    <t>K-StrongMax 18 89/300mm 40kg, fehér</t>
  </si>
  <si>
    <t>K-StrongMax 18 89/350mm 40kg, fehér</t>
  </si>
  <si>
    <t>K-StrongMax 18 89/400mm 40kg, fehér</t>
  </si>
  <si>
    <t>K-StrongMax 18 89/450mm 40kg, fehér</t>
  </si>
  <si>
    <t>K-StrongMax 18 89/500mm 40kg, fehér</t>
  </si>
  <si>
    <t>K-StrongMax 18 89/550mm 40kg, fehér</t>
  </si>
  <si>
    <t>K-StrongMax 18 89/600mm 40kg, fehér</t>
  </si>
  <si>
    <t>K-StrongMax 18 89/650mm 40kg, fehér</t>
  </si>
  <si>
    <t>K-StrongMax 18 121/300mm 40kg, fehér</t>
  </si>
  <si>
    <t>K-StrongMax 18 121/350mm 40kg, fehér</t>
  </si>
  <si>
    <t>K-StrongMax 18 121/400mm 40kg, fehér</t>
  </si>
  <si>
    <t>K-StrongMax 18 121/450mm 40kg, fehér</t>
  </si>
  <si>
    <t>K-StrongMax 18 121/500mm 40kg, fehér</t>
  </si>
  <si>
    <t>K-StrongMax 18 121/550mm 40kg, fehér</t>
  </si>
  <si>
    <t>K-StrongMax 18 121/600mm 40kg, fehér</t>
  </si>
  <si>
    <t>K-StrongMax 18 121/650mm 40kg, fehér</t>
  </si>
  <si>
    <t>K-StrongMax 18 185/300mm 40kg, fehér</t>
  </si>
  <si>
    <t>K-StrongMax 18 185/350mm 40kg, fehér</t>
  </si>
  <si>
    <t>K-StrongMax 18 185/400mm 40kg, fehér</t>
  </si>
  <si>
    <t>K-StrongMax 18 185/450mm 40kg, fehér</t>
  </si>
  <si>
    <t>K-StrongMax 18 185/500mm 40kg, fehér</t>
  </si>
  <si>
    <t>K-StrongMax 18 185/550mm 40kg, fehér</t>
  </si>
  <si>
    <t>K-StrongMax 18 185/600mm 40kg, fehér</t>
  </si>
  <si>
    <t>K-StrongMax 18 185/650mm 40kg, fehér</t>
  </si>
  <si>
    <t>K-StrongMax 18 249/450mm 40kg, fehér</t>
  </si>
  <si>
    <t>K-StrongMax 18 249/500mm 40kg, fehér</t>
  </si>
  <si>
    <t>K-StrongMax 18 249/550mm 40kg, fehér</t>
  </si>
  <si>
    <t>K-StrongMax 18 249/600mm 40kg, fehér</t>
  </si>
  <si>
    <t>K-StrongMax 18 249/650mm 40kg, fehér</t>
  </si>
  <si>
    <t>K-StrongMax 18 185/450mm 40kg, üveg oldalak, fehér</t>
  </si>
  <si>
    <t>K-StrongMax 18 185/500mm 40kg, üvegezett oldalak, fehér</t>
  </si>
  <si>
    <t>K-StrongMax 18 185/550mm 40kg, üvegezett oldalak, fehér</t>
  </si>
  <si>
    <t>K-StrongMax 18 89/450mm 40kg, fekete</t>
  </si>
  <si>
    <t>K-StrongMax 18 89/500mm 40kg, fekete</t>
  </si>
  <si>
    <t>K-StrongMax 18 121/450mm 40kg, fekete</t>
  </si>
  <si>
    <t>K-StrongMax 18 121/500mm 40kg, fekete</t>
  </si>
  <si>
    <t>K-StrongMax 18 185/450mm 40kg, fekete</t>
  </si>
  <si>
    <t>K-StrongMax 18 185/500mm 40kg, fekete</t>
  </si>
  <si>
    <t>K-StrongMax 18 249/450mm 40kg, fekete</t>
  </si>
  <si>
    <t>K-StrongMax 18 249/500mm 40kg, fekete</t>
  </si>
  <si>
    <t>K-StrongMax 18 185/450mm 40kg, üvegezett oldalak, fekete</t>
  </si>
  <si>
    <t>K-StrongMax 18 185/500mm 40kg, üvegezett oldalak, fekete</t>
  </si>
  <si>
    <t>K-StrongMax 18 185/350mm 40kg, black</t>
  </si>
  <si>
    <t>K-StrongMax 18 89/300mm 40kg, dark grey</t>
  </si>
  <si>
    <t>K-StrongMax 18 89/350mm 40kg, dark grey</t>
  </si>
  <si>
    <t>K-StrongMax 18 89/400mm 40kg, dark grey</t>
  </si>
  <si>
    <t>K-StrongMax 18 89/450mm 40kg, dark grey</t>
  </si>
  <si>
    <t>K-StrongMax 18 89/500mm 40kg, dark grey</t>
  </si>
  <si>
    <t>K-StrongMax 18 89/550mm 40kg, dark grey</t>
  </si>
  <si>
    <t>K-StrongMax 18 89/600mm 40kg, dark grey</t>
  </si>
  <si>
    <t>K-StrongMax 18 89/650mm 40kg, dark grey</t>
  </si>
  <si>
    <t>K-StrongMax 18 121/300mm 40kg, dark grey</t>
  </si>
  <si>
    <t>K-StrongMax 18 121/350mm 40kg, dark grey</t>
  </si>
  <si>
    <t>K-StrongMax 18 121/400mm 40kg, dark grey</t>
  </si>
  <si>
    <t>K-StrongMax 18 121/450mm 40kg, dark grey</t>
  </si>
  <si>
    <t>K-StrongMax 18 121/500mm 40kg, dark grey</t>
  </si>
  <si>
    <t>K-StrongMax 18 121/550mm 40kg, dark grey</t>
  </si>
  <si>
    <t>K-StrongMax 18 121/600mm 40kg, dark grey</t>
  </si>
  <si>
    <t>K-StrongMax 18 121/650mm 40kg, dark grey</t>
  </si>
  <si>
    <t>K-StrongMax 18 185/300mm 40kg, dark grey</t>
  </si>
  <si>
    <t>K-StrongMax 18 185/350mm 40kg, dark grey</t>
  </si>
  <si>
    <t>K-StrongMax 18 185/400mm 40kg, dark grey</t>
  </si>
  <si>
    <t>K-StrongMax 18 185/450mm 40kg, dark grey</t>
  </si>
  <si>
    <t>K-StrongMax 18 185/500mm 40kg, dark grey</t>
  </si>
  <si>
    <t>K-StrongMax 18 185/550mm 40kg, dark grey</t>
  </si>
  <si>
    <t>K-StrongMax 18 185/600mm 40kg, dark grey</t>
  </si>
  <si>
    <t>K-StrongMax 18 185/650mm 40kg, dark grey</t>
  </si>
  <si>
    <t>K-StrongMax 18 249/450mm 40kg, dark grey</t>
  </si>
  <si>
    <t>K-StrongMax 18 249/500mm 40kg, dark grey</t>
  </si>
  <si>
    <t>K-StrongMax 18 249/550mm 40kg, dark grey</t>
  </si>
  <si>
    <t>K-StrongMax 18 249/600mm 40kg, dark grey</t>
  </si>
  <si>
    <t>K-StrongMax 18 249/650mm 40kg, dark grey</t>
  </si>
  <si>
    <t>K-StrongMax 18 185/450mm 40kg, glazed sides, dark grey</t>
  </si>
  <si>
    <t>K-StrongMax 18 185/500mm 40kg, glazed sides, dark grey</t>
  </si>
  <si>
    <t>K-StrongMax 18 185/550mm 40kg, glazed sides, dark grey</t>
  </si>
  <si>
    <t>K-StrongMax 18 89/300mm 40kg, white</t>
  </si>
  <si>
    <t>K-StrongMax 18 89/350mm 40kg, white</t>
  </si>
  <si>
    <t>K-StrongMax 18 89/400mm 40kg, white</t>
  </si>
  <si>
    <t>K-StrongMax 18 89/450mm 40kg, white</t>
  </si>
  <si>
    <t>K-StrongMax 18 89/500mm 40kg, white</t>
  </si>
  <si>
    <t>K-StrongMax 18 89/550mm 40kg, white</t>
  </si>
  <si>
    <t>K-StrongMax 18 89/600mm 40kg, white</t>
  </si>
  <si>
    <t>K-StrongMax 18 89/650mm 40kg, white</t>
  </si>
  <si>
    <t>K-StrongMax 18 121/300mm 40kg, white</t>
  </si>
  <si>
    <t>K-StrongMax 18 121/350mm 40kg, white</t>
  </si>
  <si>
    <t>K-StrongMax 18 121/400mm 40kg, white</t>
  </si>
  <si>
    <t>K-StrongMax 18 121/450mm 40kg, white</t>
  </si>
  <si>
    <t>K-StrongMax 18 121/500mm 40kg, white</t>
  </si>
  <si>
    <t>K-StrongMax 18 121/550mm 40kg, white</t>
  </si>
  <si>
    <t>K-StrongMax 18 121/600mm 40kg, white</t>
  </si>
  <si>
    <t>K-StrongMax 18 121/650mm 40kg, white</t>
  </si>
  <si>
    <t>K-StrongMax 18 185/300mm 40kg, white</t>
  </si>
  <si>
    <t>K-StrongMax 18 185/350mm 40kg, white</t>
  </si>
  <si>
    <t>K-StrongMax 18 185/400mm 40kg, white</t>
  </si>
  <si>
    <t>K-StrongMax 18 185/450mm 40kg, white</t>
  </si>
  <si>
    <t>K-StrongMax 18 185/500mm 40kg, white</t>
  </si>
  <si>
    <t>K-StrongMax 18 185/550mm 40kg, white</t>
  </si>
  <si>
    <t>K-StrongMax 18 185/600mm 40kg, white</t>
  </si>
  <si>
    <t>K-StrongMax 18 185/650mm 40kg, white</t>
  </si>
  <si>
    <t>K-StrongMax 18 249/450mm 40kg, white</t>
  </si>
  <si>
    <t>K-StrongMax 18 249/500mm 40kg, white</t>
  </si>
  <si>
    <t>K-StrongMax 18 249/550mm 40kg, white</t>
  </si>
  <si>
    <t>K-StrongMax 18 249/600mm 40kg, white</t>
  </si>
  <si>
    <t>K-StrongMax 18 249/650mm 40kg, white</t>
  </si>
  <si>
    <t>K-StrongMax 18 185/450mm 40kg, glazed sides, white</t>
  </si>
  <si>
    <t>K-StrongMax 18 185/500mm 40kg, glazed sides, white</t>
  </si>
  <si>
    <t>K-StrongMax 18 185/550mm 40kg, glazed sides, white</t>
  </si>
  <si>
    <t>K-StrongMax 18 89/450mm 40kg, black</t>
  </si>
  <si>
    <t>K-StrongMax 18 89/500mm 40kg, black</t>
  </si>
  <si>
    <t>K-StrongMax 18 121/450mm 40kg, black</t>
  </si>
  <si>
    <t>K-StrongMax 18 121/500mm 40kg, black</t>
  </si>
  <si>
    <t>K-StrongMax 18 185/450mm 40kg, black</t>
  </si>
  <si>
    <t>K-StrongMax 18 185/500mm 40kg, black</t>
  </si>
  <si>
    <t>K-StrongMax 18 249/450mm 40kg, black</t>
  </si>
  <si>
    <t>K-StrongMax 18 249/500mm 40kg, black</t>
  </si>
  <si>
    <t>K-StrongMax 18 185/450mm 40kg, glazed sides, black</t>
  </si>
  <si>
    <t>K-StrongMax 18 185/500mm 40kg, glazed sides, black</t>
  </si>
  <si>
    <t>K-StrongMax 18 121/300mm 40kg, black</t>
  </si>
  <si>
    <t>K-StrongMax 18 121/350mm 40kg, black</t>
  </si>
  <si>
    <t>K-StrongMax 18 121/400mm 40kg, black</t>
  </si>
  <si>
    <t>K-StrongMax 18 121/550mm 40kg, black</t>
  </si>
  <si>
    <t>K-StrongMax 18 121/600mm 40kg, black</t>
  </si>
  <si>
    <t>K-StrongMax 18 121/650mm 40kg, black</t>
  </si>
  <si>
    <t>K-StrongMax 18 185/300mm 40kg, black</t>
  </si>
  <si>
    <t>K-StrongMax 18 185/400mm 40kg, black</t>
  </si>
  <si>
    <t>K-StrongMax 18 185/550mm 40kg, black</t>
  </si>
  <si>
    <t>K-StrongMax 18 185/550mm 40kg, glass sides, black</t>
  </si>
  <si>
    <t>K-StrongMax 18 185/600mm 40kg, black</t>
  </si>
  <si>
    <t>K-StrongMax 18 185/650mm 40kg, black</t>
  </si>
  <si>
    <t>K-StrongMax 18 249/550mm 40kg, black</t>
  </si>
  <si>
    <t>K-StrongMax 18 249/600mm 40kg, black</t>
  </si>
  <si>
    <t>K-StrongMax 18 249/650mm 40kg, black</t>
  </si>
  <si>
    <t>K-StrongMax 18 89/300mm 40kg, black</t>
  </si>
  <si>
    <t>K-StrongMax 18 89/350mm 40kg, black</t>
  </si>
  <si>
    <t>K-StrongMax 18 89/400mm 40kg, black</t>
  </si>
  <si>
    <t>K-StrongMax 18 89/550mm 40kg, black</t>
  </si>
  <si>
    <t>K-StrongMax 18 89/600mm 40kg, black</t>
  </si>
  <si>
    <t>K-StrongMax 18 89/650mm 40kg, black</t>
  </si>
  <si>
    <t>Barva</t>
  </si>
  <si>
    <t>černá</t>
  </si>
  <si>
    <t>bílá</t>
  </si>
  <si>
    <t>Biela</t>
  </si>
  <si>
    <t>Čierna</t>
  </si>
  <si>
    <t>Vyberte barvu</t>
  </si>
  <si>
    <t>Vyberte farbu</t>
  </si>
  <si>
    <t>Vyberte výšku bočnice</t>
  </si>
  <si>
    <t>Výška bočnice</t>
  </si>
  <si>
    <t>Tmavo sivá</t>
  </si>
  <si>
    <t>tmavě šedá</t>
  </si>
  <si>
    <t>Sklo</t>
  </si>
  <si>
    <t>Délka</t>
  </si>
  <si>
    <t>Skleněná bočnice ano/ne</t>
  </si>
  <si>
    <t>jedinná zásuvka</t>
  </si>
  <si>
    <t>dolní zásuvka</t>
  </si>
  <si>
    <t>horní zásuvka</t>
  </si>
  <si>
    <t>dopočet MAX výška bočnice</t>
  </si>
  <si>
    <t>střední 2. zásuvka</t>
  </si>
  <si>
    <t>střední 3. zásuvka</t>
  </si>
  <si>
    <t>střední 4. zásuvka</t>
  </si>
  <si>
    <t>MIN</t>
  </si>
  <si>
    <t>MAX</t>
  </si>
  <si>
    <t>sklo</t>
  </si>
  <si>
    <t>JEDNA_VÝŠKA</t>
  </si>
  <si>
    <t>89/121</t>
  </si>
  <si>
    <t>DVĚ_VÝŠKY</t>
  </si>
  <si>
    <t>89/121/185</t>
  </si>
  <si>
    <t>TŘI_VÝŠKY</t>
  </si>
  <si>
    <t>89/121/185/249</t>
  </si>
  <si>
    <t>ČTYŘI_VÝŠKY</t>
  </si>
  <si>
    <t>89</t>
  </si>
  <si>
    <t>Kód kompletu</t>
  </si>
  <si>
    <t>Název kompletu</t>
  </si>
  <si>
    <t>Keyword</t>
  </si>
  <si>
    <t>nelze varianta se sklem</t>
  </si>
  <si>
    <t>Vrtání boku korpusu</t>
  </si>
  <si>
    <t>Rozměry korpusu v mm</t>
  </si>
  <si>
    <t>Vyplňujte vždy sdola</t>
  </si>
  <si>
    <t>Výška otvorů od dna korpusu</t>
  </si>
  <si>
    <t>StrongMax Planner</t>
  </si>
  <si>
    <t>Vždy používejte aktuální verzi formuláře, který je dostupný na našich stánkách.</t>
  </si>
  <si>
    <t>Vždy používajte aktuálnu verziu formuláru, ktorý je dostupný na našich stránkach.</t>
  </si>
  <si>
    <t>Proszę korzystać zawsze z aktualnej wersji formularza umieszczonego na naszych stronach Web.</t>
  </si>
  <si>
    <t>Mindig használja a legfrissebb megrendelő lapot, amelyet megtalál a weboldalunkon.</t>
  </si>
  <si>
    <t>Zákazník</t>
  </si>
  <si>
    <t>Klient</t>
  </si>
  <si>
    <t>Vevő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</si>
  <si>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</si>
  <si>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</si>
  <si>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</si>
  <si>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</si>
  <si>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</si>
  <si>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</si>
  <si>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</si>
  <si>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</si>
  <si>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 provozovny</t>
  </si>
  <si>
    <t>Adresa prevádzky</t>
  </si>
  <si>
    <t>Adres oddziału</t>
  </si>
  <si>
    <t>Szállítási cím</t>
  </si>
  <si>
    <t>IČ:</t>
  </si>
  <si>
    <t>ID:</t>
  </si>
  <si>
    <t>Vaše sleva*</t>
  </si>
  <si>
    <t>Vaše zľava*</t>
  </si>
  <si>
    <t>Twój Rabat*</t>
  </si>
  <si>
    <t>Engedmény a profilokra*</t>
  </si>
  <si>
    <t>Číslo objednávky</t>
  </si>
  <si>
    <t>Numer zamówienia</t>
  </si>
  <si>
    <t>A megrendelés száma</t>
  </si>
  <si>
    <t>Konfigurátor pro výpočet čel a vrtání zásuvek StrongMax s 18mm dnem</t>
  </si>
  <si>
    <t>Ceny sú platné od 02.01.2025</t>
  </si>
  <si>
    <t>Ceny jsou platné od 02.01.2025</t>
  </si>
  <si>
    <t>Ceny obowiązują od 02.01.2025</t>
  </si>
  <si>
    <t>Az árak érvényesek 2025.01.02 -től</t>
  </si>
  <si>
    <t>Vyplňte prosím vaše kontaktné údaje:</t>
  </si>
  <si>
    <t>Wpisz proszę dane kontaktowe:</t>
  </si>
  <si>
    <t>Töltse ki kérem az elérhetőségét:</t>
  </si>
  <si>
    <t>Tento formulář slouží pro pomoc při výpočtu výšky čel, vrtání výsuvů a čel. V některých případech výpočty nemusí být přesné a firma Démos Trade neručí za škody způsobené tímto formulářem.</t>
  </si>
  <si>
    <t>Potvrzuji, že rozumím a přijímám výše uvedené podmínky a doporučení.</t>
  </si>
  <si>
    <t>Potvrdzujem, že som porozumel a súhlasím s uvedenými podmienkami a odporúčaniami.</t>
  </si>
  <si>
    <t>Potwierdzam, że rozumiem i akceptuję powyższe warunki i zalecenia.</t>
  </si>
  <si>
    <t>Megerősítem, hogy megértettem és elfogadom a fenti feltételeket és ajánlásokat.</t>
  </si>
  <si>
    <t>Wprowadzenie</t>
  </si>
  <si>
    <t>Bevezetés</t>
  </si>
  <si>
    <t>Main page</t>
  </si>
  <si>
    <t>Dále</t>
  </si>
  <si>
    <t>Ďalšie</t>
  </si>
  <si>
    <t>Kolejne</t>
  </si>
  <si>
    <t>Következő</t>
  </si>
  <si>
    <t>Next</t>
  </si>
  <si>
    <t>Zpět</t>
  </si>
  <si>
    <t>Späť</t>
  </si>
  <si>
    <t>Powrót</t>
  </si>
  <si>
    <t>Vissza</t>
  </si>
  <si>
    <t>Back</t>
  </si>
  <si>
    <t>Uvedené ceny jsou bez DPH!</t>
  </si>
  <si>
    <t>Uvedené ceny sú bez DPH!</t>
  </si>
  <si>
    <t>Podane ceny nie zawierają podatku VAT!</t>
  </si>
  <si>
    <t>Az feltüntetett árak ÁFA nélkül vannak megadva és nem tartalmazzák a szükséges vasalatok árát!</t>
  </si>
  <si>
    <t>Prices are without VAT!</t>
  </si>
  <si>
    <t xml:space="preserve">Při vyplňování formuláře postupujte vždy shora dolů. Provedete li zpětně změnu, překontrolujte zda jsou následující položky správně. </t>
  </si>
  <si>
    <t>Pri vyplňaní formulára postupujte vždy zhora nadol. Ak urobíte spätne zmenu, prekontrolujte či sú nasledovné položky správne.</t>
  </si>
  <si>
    <t>Formularz należy wypełnić od góry do dołu. Po ewentualnej zmianie proszę skontrolować poprawność wprowadzonych danych.</t>
  </si>
  <si>
    <t xml:space="preserve">A nyomtatvány kitöltésénél mindig haladjon fentről lefelé. Amennyiben bármilyen változtatást hajt végre a nyomtatványon, ellenőrizze az összes adatot, hogy rendben vannak-e. </t>
  </si>
  <si>
    <t>While filling the form in, always proceed from top to down. If you make any change, make sure that items below are correct.</t>
  </si>
  <si>
    <t xml:space="preserve">Vyplněnou objednávku zašlete na adresu </t>
  </si>
  <si>
    <t xml:space="preserve">Vyplnenú objednávku zašlite na adresu </t>
  </si>
  <si>
    <t>Wypełnione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</si>
  <si>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</si>
  <si>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</si>
  <si>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</si>
  <si>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</si>
  <si>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Vyplňte prosím Vaše kontaktní údaje:</t>
  </si>
  <si>
    <t>výška zad</t>
  </si>
  <si>
    <t>Přířez zad:</t>
  </si>
  <si>
    <t>Přířez dna:</t>
  </si>
  <si>
    <t>(pro správný výpočet musí být zvolena výška bočnice v tabulce výše)</t>
  </si>
  <si>
    <t>Vrtání čílka první zásuvky</t>
  </si>
  <si>
    <t>Vrtání čílka druhé zásuvky</t>
  </si>
  <si>
    <t>Vrtání čílka třetí zásuvky</t>
  </si>
  <si>
    <t>Vrtání čílka čtvrté zásuvky</t>
  </si>
  <si>
    <t>Vrtání čílka páté zásuvky</t>
  </si>
  <si>
    <t>1.00</t>
  </si>
  <si>
    <t>Verze:</t>
  </si>
  <si>
    <t>Výška čela vč. úchytového profilu</t>
  </si>
  <si>
    <t>Zásuvky s čílkem</t>
  </si>
  <si>
    <t>Dopočet výšky čílek</t>
  </si>
  <si>
    <t>Výška čílka</t>
  </si>
  <si>
    <t>variant zo sklom nie je možlivý</t>
  </si>
  <si>
    <t>nie</t>
  </si>
  <si>
    <t>tak</t>
  </si>
  <si>
    <t>igen</t>
  </si>
  <si>
    <t>nem</t>
  </si>
  <si>
    <t>yes</t>
  </si>
  <si>
    <t>no</t>
  </si>
  <si>
    <t>Pozn: vyplňujte zleva doprava</t>
  </si>
  <si>
    <t>Pozn: pokud uděláte změnu, vyplňte vše znovu, jinak bude formulář pracovat s nesprávnými daty</t>
  </si>
  <si>
    <t>áno</t>
  </si>
  <si>
    <t>Podmínky a doporučení pro správné objednání</t>
  </si>
  <si>
    <t>Podmienky a odporúčania pre správne objednanie</t>
  </si>
  <si>
    <t>Warunki i zalecenia dotyczące prawidłowego zamawiania</t>
  </si>
  <si>
    <t>Helyes megrendelésének feltételei és ajánlásai</t>
  </si>
  <si>
    <t>Conditions and recomendations for correct ordering</t>
  </si>
  <si>
    <t>To make your work easier …</t>
  </si>
  <si>
    <t>A munka egyszerűsítésére …</t>
  </si>
  <si>
    <t>Aby uprościć pracę …</t>
  </si>
  <si>
    <t>Pro zjednoduššení práce …</t>
  </si>
  <si>
    <t>Pre zjednodušenie práce …</t>
  </si>
  <si>
    <t>STRONG označovací šablona pro výsuvy nerezová</t>
  </si>
  <si>
    <t>STRONG označovacia šablona pro výsuvy nerezová</t>
  </si>
  <si>
    <t>STRONG szablon ze stali nierdzewnej do prowadnic</t>
  </si>
  <si>
    <t>STRONG fióksín jelölő sablon nemesacél</t>
  </si>
  <si>
    <t>STRONG template for Strong slides - stainless steel</t>
  </si>
  <si>
    <t>StrongBox označovač čela - sada P+L</t>
  </si>
  <si>
    <t>StrongBox szablon do oznaczenia mocowania frontu - komplet P+L</t>
  </si>
  <si>
    <t>StrongBox fiókfrontjelző J+B</t>
  </si>
  <si>
    <t>StrongBox Mounting template for front - set L+R</t>
  </si>
  <si>
    <t>Szuflada z frontem</t>
  </si>
  <si>
    <t>Szuflady wewnętrzne</t>
  </si>
  <si>
    <t>Wysokość korpusu (A)</t>
  </si>
  <si>
    <t>Szerokość korpusu (B)</t>
  </si>
  <si>
    <t>Grubość dna i wieńca górnego (C)</t>
  </si>
  <si>
    <t>Grubość boków (D)</t>
  </si>
  <si>
    <t>Szczelina na górze (E)</t>
  </si>
  <si>
    <t>Szczelina między frontami (F)</t>
  </si>
  <si>
    <t>Szczelina na dole (G)</t>
  </si>
  <si>
    <t>Szczelina po bokach (H)</t>
  </si>
  <si>
    <t>Długość prowadnicy (I)</t>
  </si>
  <si>
    <t>Ilość szuflad</t>
  </si>
  <si>
    <t>Obliczenie wysokości frontu</t>
  </si>
  <si>
    <t>Czy będzie front z rączką?</t>
  </si>
  <si>
    <t>Wysokość rączki w mm (J)</t>
  </si>
  <si>
    <t>1. szuflada</t>
  </si>
  <si>
    <t>2. szuflady</t>
  </si>
  <si>
    <t>3. szuflady</t>
  </si>
  <si>
    <t>4. szuflady</t>
  </si>
  <si>
    <t>5. szuflad</t>
  </si>
  <si>
    <t>Pozycja prowadnic</t>
  </si>
  <si>
    <t>Wysokość frontu</t>
  </si>
  <si>
    <t>Wymiary korpusu w mm</t>
  </si>
  <si>
    <t>Wybierz kolor</t>
  </si>
  <si>
    <t>Biały</t>
  </si>
  <si>
    <t>Czarny</t>
  </si>
  <si>
    <t>Ciemnoszary</t>
  </si>
  <si>
    <t>Wybierz wysokość prowadnic</t>
  </si>
  <si>
    <t>Nie ma wariantu ze szkłem</t>
  </si>
  <si>
    <t>Wiercenie do boku korpusu</t>
  </si>
  <si>
    <t>Wypełniaj zawsze od dołu</t>
  </si>
  <si>
    <t>Wysokość otworów od dna korpusu</t>
  </si>
  <si>
    <t>Formularz ten służy do pomocy przy obliczaniu wysokości frontów, wierceniu prowadnic i frontów. W niektórych przypadkach obliczenia mogą nie być dokładne i Démos Trade nie ponosi odpowiedzialności za szkody spowodowane przez ten formularz.</t>
  </si>
  <si>
    <t>Konfigurator do obliczania frontu i wiercenia szuflad StrongMax o grubości dna 18 mm</t>
  </si>
  <si>
    <t>Docięcie tyłu:</t>
  </si>
  <si>
    <t>Docięcie dna:</t>
  </si>
  <si>
    <t>(dla prawidłowego obliczenia należy wybrać wysokość ściany bocznej z tabeli powyżej)</t>
  </si>
  <si>
    <t>Wiercenie frontu w pierwszej szufladzie</t>
  </si>
  <si>
    <t>Wiercenie frontu w drugiej szufladzie</t>
  </si>
  <si>
    <t>Wiercenie frontu w trzeciej szufladzie</t>
  </si>
  <si>
    <t>Wiercenie frontu w czwartej szufladzie</t>
  </si>
  <si>
    <t>Wiercenie frontu w piątej szufladzie</t>
  </si>
  <si>
    <t>Wysokość frontu razem z rączką</t>
  </si>
  <si>
    <t>Szklane boki tak/nie</t>
  </si>
  <si>
    <t>Uwaga: wypełniaj od lewej do prawej</t>
  </si>
  <si>
    <t>Uwaga: jeśli dokonasz zmiany, wypełnij wszystko od nowa, w przeciwnym razie formularz będzie z błędami</t>
  </si>
  <si>
    <t>Kod kompletu</t>
  </si>
  <si>
    <t>Nazwa kompletu</t>
  </si>
  <si>
    <t>Maximální doporučená šířka zásuvky je 1,6 násobek délky výsuvu</t>
  </si>
  <si>
    <t>Maximálna doporučná šírka zásuvky je 1,6 násobok dĺžky výsuvu</t>
  </si>
  <si>
    <t>Maksymalna zalecana szerokość szuflady to 1,6-krotność długości prowadnicy</t>
  </si>
  <si>
    <t>A fiók maximális ajánlott szélessége a fióksín hosszának 1,6-szorosa</t>
  </si>
  <si>
    <t>FR</t>
  </si>
  <si>
    <t>DE</t>
  </si>
  <si>
    <t xml:space="preserve">Fiókok frontval </t>
  </si>
  <si>
    <t>Belső fiókok</t>
  </si>
  <si>
    <t>Korpuszmagasság (A)</t>
  </si>
  <si>
    <t>Korpuszszélesség (B)</t>
  </si>
  <si>
    <t>Alsó és felső fal vastagság ©</t>
  </si>
  <si>
    <t>Oldalfal vastagság (D)</t>
  </si>
  <si>
    <t>Rés a felső részen (E)</t>
  </si>
  <si>
    <t>Frontok közötti réstávolság (F)</t>
  </si>
  <si>
    <t>Rés az alsó részen (G)</t>
  </si>
  <si>
    <t>Oldalsó rések (H)</t>
  </si>
  <si>
    <t>Fióksín hossz (I)</t>
  </si>
  <si>
    <t>Fiókok száma</t>
  </si>
  <si>
    <t>A frontok magasságának számítása</t>
  </si>
  <si>
    <t>Tartalmaz a front fogantyúprofilt?</t>
  </si>
  <si>
    <t>A fogantyúprofil magassága mm-ben (J)</t>
  </si>
  <si>
    <t>1. fiók</t>
  </si>
  <si>
    <t>2. fiók</t>
  </si>
  <si>
    <t>3. fiók</t>
  </si>
  <si>
    <t>4. fiók</t>
  </si>
  <si>
    <t>5. fiók</t>
  </si>
  <si>
    <t>Fióksín pozíció</t>
  </si>
  <si>
    <t>Frontmagasság</t>
  </si>
  <si>
    <t>A korpusz méretei mm-ben</t>
  </si>
  <si>
    <t>Szín kiválasztása</t>
  </si>
  <si>
    <t>fehér</t>
  </si>
  <si>
    <t>fekete</t>
  </si>
  <si>
    <t>sötét szürke</t>
  </si>
  <si>
    <t>Válassza ki az oldalfal magasságát</t>
  </si>
  <si>
    <t>A korpusz oldalának fúrása</t>
  </si>
  <si>
    <t>Az adatokat mindig alulról kezdje kitölteni</t>
  </si>
  <si>
    <t>A furatok magassága a korpusz aljától számítva</t>
  </si>
  <si>
    <t>1.00 - es változat</t>
  </si>
  <si>
    <t>Ez a nyomtatvány a frontmagasságok, a fióksínek és a frontok furatainak kiszámításához nyújt segítséget. Bizonyos esetekben a számítások nem feltétlenül pontosak, és a Démos Trade nem vállal felelősséget az űrlap által okozott károkért.</t>
  </si>
  <si>
    <t>Konfigurátor a StrongMax frontok és furatok kiszámításához 18 mm-es fiókalj esetében</t>
  </si>
  <si>
    <t>Hátsó vágás:</t>
  </si>
  <si>
    <t>Alsó vágás:</t>
  </si>
  <si>
    <t>( a helyes számításhoz a fenti táblázatban található oldalfalmagasságot kell kiválasztani)</t>
  </si>
  <si>
    <t>Az első fiók frontfurata</t>
  </si>
  <si>
    <t>A második fiók frontfurata</t>
  </si>
  <si>
    <t>A harmadik fiók frontfurata</t>
  </si>
  <si>
    <t>A negyedik fiók frontfurata</t>
  </si>
  <si>
    <t>Az ötödik fiók frontfurata</t>
  </si>
  <si>
    <t>A front rész magassága a fogantyúprofillal együtt</t>
  </si>
  <si>
    <t>Üveg oldalfal igen/nem</t>
  </si>
  <si>
    <t>Megjegyzés: balról jobbra haladva töltse ki</t>
  </si>
  <si>
    <t>Megjegyzés: ha változtat, töltsön ki mindent újra, különben az űrlap hibás adatokkal fog dolgozni</t>
  </si>
  <si>
    <t xml:space="preserve">Komplett cikkszáma </t>
  </si>
  <si>
    <t>Komplett elnevezése</t>
  </si>
  <si>
    <t>üveggel nem lehetséges</t>
  </si>
  <si>
    <t>Šírka korpusu (B)</t>
  </si>
  <si>
    <t>Hrúbka dna a stropu (C)</t>
  </si>
  <si>
    <t>Hrúbka bokov (D)</t>
  </si>
  <si>
    <t>Medzera hore (E)</t>
  </si>
  <si>
    <t>Medzera medzi čelami (F)</t>
  </si>
  <si>
    <t>Medzera dole (G)</t>
  </si>
  <si>
    <t>Medzera na stranách (H)</t>
  </si>
  <si>
    <t>Dĺžka výsuvov (I)</t>
  </si>
  <si>
    <t>Počet zásuviek</t>
  </si>
  <si>
    <t>Dopočet výšky čiel</t>
  </si>
  <si>
    <t>Bude čelo s úchytovým profilom ?</t>
  </si>
  <si>
    <t>Pozícia výsuvu</t>
  </si>
  <si>
    <t>Výška čela</t>
  </si>
  <si>
    <t>Rozmery korpusu v mm</t>
  </si>
  <si>
    <t>Vŕtanie boku korpusu</t>
  </si>
  <si>
    <t>Vyplňujte vždy zdola</t>
  </si>
  <si>
    <t>Výška otvorov od dna korpusu</t>
  </si>
  <si>
    <t>Verzia 1.00</t>
  </si>
  <si>
    <t>Tento formulár slúži ako pomôcka pri výpočte výšky čela, vŕtania výsuvov a čiel. V niektorých prípadoch nemusia byť výpočty presné a spoločnosť Démos Trade nezodpovedá za škody spôsobené týmto formulárom.</t>
  </si>
  <si>
    <t>Konfigurátor pre výpočet čiel a vŕtania zásuviek StrongMax s 18 mm dnom</t>
  </si>
  <si>
    <t>Prírez chrbta:</t>
  </si>
  <si>
    <t>Prírez dna:</t>
  </si>
  <si>
    <t>(pre správny výpočet je potrebné zvoliť výšku bočnice v tabuľke vyššie)</t>
  </si>
  <si>
    <t>Vŕtanie čela prvej zásuvky</t>
  </si>
  <si>
    <t>Vŕtanie čela druhej zásuvky</t>
  </si>
  <si>
    <t>Vŕtanie čela tretej zásuvky</t>
  </si>
  <si>
    <t>Vŕtanie čela štvrtej zásuvky</t>
  </si>
  <si>
    <t>Vŕtanie čela piatej zásuvky</t>
  </si>
  <si>
    <t>Výška čela vrátane úchytového profilu</t>
  </si>
  <si>
    <t>Sklenená bočnica áno/nie</t>
  </si>
  <si>
    <t>Poznámka: vyplňujte zľava doprava</t>
  </si>
  <si>
    <t>Poznámka: ak vykonáte zmenu, vyplňte všetko znova, inak bude formulár pracovať s nesprávnymi údajmi</t>
  </si>
  <si>
    <t>Názov kompletu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</si>
</sst>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 ;\-0.0\ "/>
    <numFmt numFmtId="165" formatCode="0.0"/>
  </numFmts>
  <fonts count="2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  <charset val="238"/>
    </font>
    <font>
      <u/>
      <sz val="9.35"/>
      <color theme="10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8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36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0"/>
      <name val="Aptos Narrow"/>
      <family val="2"/>
      <scheme val="minor"/>
    </font>
    <font>
      <b/>
      <sz val="14"/>
      <color theme="0"/>
      <name val="Aptos Narrow"/>
      <family val="2"/>
    </font>
    <font>
      <b/>
      <sz val="14"/>
      <color theme="0"/>
      <name val="Arial Narrow"/>
      <family val="2"/>
      <charset val="238"/>
    </font>
    <font>
      <sz val="16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984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 applyProtection="1">
      <alignment vertical="center"/>
      <protection hidden="1"/>
    </xf>
    <xf numFmtId="1" fontId="0" fillId="0" borderId="0" xfId="0" applyNumberFormat="1"/>
    <xf numFmtId="49" fontId="3" fillId="0" borderId="0" xfId="2" applyNumberFormat="1"/>
    <xf numFmtId="49" fontId="4" fillId="0" borderId="0" xfId="2" applyNumberFormat="1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3" borderId="0" xfId="4" applyFill="1" applyProtection="1">
      <protection hidden="1"/>
    </xf>
    <xf numFmtId="0" fontId="6" fillId="4" borderId="0" xfId="4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Alignment="1">
      <alignment horizontal="left"/>
    </xf>
    <xf numFmtId="0" fontId="0" fillId="0" borderId="0" xfId="0" applyAlignment="1" applyProtection="1">
      <alignment vertical="top"/>
      <protection hidden="1"/>
    </xf>
    <xf numFmtId="0" fontId="0" fillId="0" borderId="0" xfId="0" applyProtection="1">
      <protection locked="0"/>
    </xf>
    <xf numFmtId="0" fontId="7" fillId="0" borderId="0" xfId="5" applyBorder="1" applyAlignment="1" applyProtection="1">
      <alignment horizontal="left"/>
    </xf>
    <xf numFmtId="0" fontId="7" fillId="0" borderId="0" xfId="5" applyBorder="1" applyAlignment="1" applyProtection="1"/>
    <xf numFmtId="0" fontId="0" fillId="0" borderId="0" xfId="0" applyAlignment="1" applyProtection="1">
      <alignment vertical="top" wrapText="1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14" fillId="0" borderId="0" xfId="0" applyFont="1"/>
    <xf numFmtId="165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1" fontId="0" fillId="0" borderId="0" xfId="0" applyNumberFormat="1" applyAlignment="1">
      <alignment horizontal="center"/>
    </xf>
    <xf numFmtId="0" fontId="8" fillId="0" borderId="0" xfId="5" applyFont="1" applyFill="1" applyBorder="1" applyAlignment="1" applyProtection="1">
      <alignment vertical="center"/>
      <protection locked="0" hidden="1"/>
    </xf>
    <xf numFmtId="0" fontId="8" fillId="0" borderId="6" xfId="5" applyFont="1" applyFill="1" applyBorder="1" applyAlignment="1" applyProtection="1">
      <alignment vertical="center"/>
      <protection locked="0" hidden="1"/>
    </xf>
    <xf numFmtId="0" fontId="11" fillId="0" borderId="0" xfId="0" applyFont="1"/>
    <xf numFmtId="0" fontId="9" fillId="0" borderId="0" xfId="0" applyFont="1" applyAlignment="1" applyProtection="1">
      <alignment wrapText="1"/>
      <protection hidden="1"/>
    </xf>
    <xf numFmtId="0" fontId="6" fillId="4" borderId="0" xfId="4" applyFill="1"/>
    <xf numFmtId="0" fontId="0" fillId="0" borderId="0" xfId="0" applyAlignment="1" applyProtection="1">
      <alignment horizontal="left"/>
      <protection locked="0"/>
    </xf>
    <xf numFmtId="0" fontId="3" fillId="0" borderId="0" xfId="2"/>
    <xf numFmtId="0" fontId="0" fillId="0" borderId="10" xfId="0" applyBorder="1"/>
    <xf numFmtId="0" fontId="18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left" indent="4"/>
      <protection hidden="1"/>
    </xf>
    <xf numFmtId="0" fontId="19" fillId="0" borderId="0" xfId="0" applyFont="1"/>
    <xf numFmtId="0" fontId="0" fillId="0" borderId="11" xfId="0" applyBorder="1" applyAlignment="1" applyProtection="1">
      <alignment vertical="center" wrapText="1"/>
      <protection hidden="1"/>
    </xf>
    <xf numFmtId="0" fontId="13" fillId="0" borderId="0" xfId="0" applyFont="1"/>
    <xf numFmtId="0" fontId="14" fillId="0" borderId="0" xfId="0" applyFont="1" applyProtection="1">
      <protection hidden="1"/>
    </xf>
    <xf numFmtId="1" fontId="14" fillId="0" borderId="0" xfId="0" applyNumberFormat="1" applyFont="1" applyAlignment="1" applyProtection="1">
      <alignment vertical="top"/>
      <protection hidden="1"/>
    </xf>
    <xf numFmtId="0" fontId="14" fillId="0" borderId="0" xfId="0" applyFont="1" applyAlignment="1">
      <alignment vertical="top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>
      <alignment vertical="center"/>
    </xf>
    <xf numFmtId="1" fontId="5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1" fontId="5" fillId="0" borderId="0" xfId="0" applyNumberFormat="1" applyFont="1" applyAlignment="1" applyProtection="1">
      <alignment vertical="top"/>
      <protection hidden="1"/>
    </xf>
    <xf numFmtId="1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/>
      <protection hidden="1"/>
    </xf>
    <xf numFmtId="1" fontId="5" fillId="0" borderId="0" xfId="0" applyNumberFormat="1" applyFont="1" applyAlignment="1">
      <alignment vertical="center" textRotation="90"/>
    </xf>
    <xf numFmtId="0" fontId="5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right" vertical="top" textRotation="90"/>
    </xf>
    <xf numFmtId="0" fontId="5" fillId="0" borderId="0" xfId="0" applyFont="1" applyAlignment="1">
      <alignment vertical="center" textRotation="90"/>
    </xf>
    <xf numFmtId="1" fontId="5" fillId="0" borderId="0" xfId="0" applyNumberFormat="1" applyFont="1" applyAlignment="1">
      <alignment textRotation="90"/>
    </xf>
    <xf numFmtId="0" fontId="5" fillId="0" borderId="0" xfId="0" applyFont="1" applyAlignment="1">
      <alignment vertical="top" textRotation="90"/>
    </xf>
    <xf numFmtId="0" fontId="5" fillId="0" borderId="0" xfId="0" applyFont="1" applyAlignment="1">
      <alignment textRotation="90"/>
    </xf>
    <xf numFmtId="165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right" textRotation="90"/>
    </xf>
    <xf numFmtId="0" fontId="5" fillId="0" borderId="0" xfId="0" applyFont="1" applyAlignment="1">
      <alignment horizontal="left" textRotation="90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4"/>
    </xf>
    <xf numFmtId="0" fontId="13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5" fillId="4" borderId="0" xfId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wrapText="1"/>
    </xf>
    <xf numFmtId="0" fontId="16" fillId="4" borderId="6" xfId="1" applyFont="1" applyFill="1" applyBorder="1" applyAlignment="1" applyProtection="1">
      <alignment horizontal="center" vertical="center"/>
      <protection locked="0" hidden="1"/>
    </xf>
    <xf numFmtId="0" fontId="16" fillId="4" borderId="0" xfId="1" applyFont="1" applyFill="1" applyBorder="1" applyAlignment="1" applyProtection="1">
      <alignment horizontal="center" vertical="center"/>
      <protection locked="0" hidden="1"/>
    </xf>
    <xf numFmtId="0" fontId="15" fillId="4" borderId="6" xfId="1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0" fillId="5" borderId="7" xfId="0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8" xfId="0" applyFill="1" applyBorder="1" applyAlignment="1" applyProtection="1">
      <alignment horizontal="center" vertical="center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6" fillId="4" borderId="6" xfId="1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4" borderId="0" xfId="1" applyFont="1" applyFill="1" applyBorder="1" applyAlignment="1" applyProtection="1">
      <alignment horizontal="center" vertical="center"/>
      <protection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4" borderId="6" xfId="1" applyFont="1" applyFill="1" applyBorder="1" applyAlignment="1" applyProtection="1">
      <alignment horizontal="center" vertical="center"/>
      <protection locked="0" hidden="1"/>
    </xf>
    <xf numFmtId="0" fontId="17" fillId="4" borderId="0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>
      <alignment horizontal="right" vertical="center" textRotation="90"/>
    </xf>
    <xf numFmtId="0" fontId="5" fillId="0" borderId="0" xfId="0" applyFont="1" applyAlignment="1">
      <alignment horizont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>
      <alignment horizontal="right" vertical="center" textRotation="90"/>
    </xf>
    <xf numFmtId="165" fontId="5" fillId="0" borderId="0" xfId="0" applyNumberFormat="1" applyFont="1" applyAlignment="1">
      <alignment horizontal="right" vertical="center" textRotation="90"/>
    </xf>
    <xf numFmtId="165" fontId="5" fillId="0" borderId="0" xfId="0" applyNumberFormat="1" applyFont="1" applyAlignment="1">
      <alignment horizontal="right" vertical="top" textRotation="90"/>
    </xf>
    <xf numFmtId="0" fontId="13" fillId="0" borderId="0" xfId="0" applyFont="1" applyAlignment="1">
      <alignment horizontal="center" vertical="center" textRotation="90"/>
    </xf>
    <xf numFmtId="0" fontId="5" fillId="0" borderId="5" xfId="0" applyFont="1" applyBorder="1" applyAlignment="1">
      <alignment horizontal="left" vertical="center" textRotation="90" wrapText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4" borderId="0" xfId="1" applyFont="1" applyFill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left" textRotation="90"/>
    </xf>
    <xf numFmtId="1" fontId="5" fillId="0" borderId="0" xfId="0" applyNumberFormat="1" applyFont="1" applyAlignment="1">
      <alignment horizontal="right" textRotation="90"/>
    </xf>
    <xf numFmtId="1" fontId="5" fillId="0" borderId="0" xfId="0" applyNumberFormat="1" applyFont="1" applyAlignment="1">
      <alignment horizontal="left" textRotation="90"/>
    </xf>
  </cellXfs>
  <cellStyles count="7">
    <cellStyle name="Hypertextový odkaz" xfId="1" builtinId="8"/>
    <cellStyle name="Hypertextový odkaz 2" xfId="5" xr:uid="{F65F0447-E529-4DFB-B4DA-FC360EF204AD}"/>
    <cellStyle name="Normální" xfId="0" builtinId="0"/>
    <cellStyle name="Normální 13" xfId="4" xr:uid="{6ED1C393-B11A-4E09-B945-6763D58C9382}"/>
    <cellStyle name="Normální 2" xfId="2" xr:uid="{4B03FA96-B597-48EB-A05E-BC761B211864}"/>
    <cellStyle name="Normální 2 2" xfId="3" xr:uid="{686F977F-2BC5-4D60-8070-CCAF2C4BEEBF}"/>
    <cellStyle name="Procenta 2" xfId="6" xr:uid="{5E0F9B75-5137-4761-A28D-C03F6A9A03BD}"/>
  </cellStyles>
  <dxfs count="8">
    <dxf>
      <fill>
        <patternFill>
          <bgColor rgb="FF92D050"/>
        </patternFill>
      </fill>
    </dxf>
    <dxf>
      <fill>
        <patternFill>
          <fgColor theme="0"/>
          <bgColor theme="0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ctrlProps/ctrlProp1.xml><?xml version="1.0" encoding="utf-8"?>
<formControlPr xmlns="http://schemas.microsoft.com/office/spreadsheetml/2009/9/main" objectType="Radio" firstButton="1" fmlaLink="Překlady!$D$1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fmlaLink="#REF!"/>
</file>

<file path=xl/ctrlProps/ctrlProp7.xml><?xml version="1.0" encoding="utf-8"?>
<formControlPr xmlns="http://schemas.microsoft.com/office/spreadsheetml/2009/9/main" objectType="CheckBox" fmlaLink="#REF!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jpe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69;elo!A1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emf"/><Relationship Id="rId3" Type="http://schemas.openxmlformats.org/officeDocument/2006/relationships/image" Target="../media/image25.emf"/><Relationship Id="rId7" Type="http://schemas.openxmlformats.org/officeDocument/2006/relationships/image" Target="../media/image29.emf"/><Relationship Id="rId2" Type="http://schemas.openxmlformats.org/officeDocument/2006/relationships/image" Target="../media/image24.png"/><Relationship Id="rId1" Type="http://schemas.openxmlformats.org/officeDocument/2006/relationships/image" Target="../media/image16.png"/><Relationship Id="rId6" Type="http://schemas.openxmlformats.org/officeDocument/2006/relationships/image" Target="../media/image28.emf"/><Relationship Id="rId11" Type="http://schemas.openxmlformats.org/officeDocument/2006/relationships/image" Target="../media/image33.emf"/><Relationship Id="rId5" Type="http://schemas.openxmlformats.org/officeDocument/2006/relationships/image" Target="../media/image27.emf"/><Relationship Id="rId10" Type="http://schemas.openxmlformats.org/officeDocument/2006/relationships/image" Target="../media/image32.emf"/><Relationship Id="rId4" Type="http://schemas.openxmlformats.org/officeDocument/2006/relationships/image" Target="../media/image26.emf"/><Relationship Id="rId9" Type="http://schemas.openxmlformats.org/officeDocument/2006/relationships/image" Target="../media/image31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41.emf"/><Relationship Id="rId3" Type="http://schemas.openxmlformats.org/officeDocument/2006/relationships/image" Target="../media/image36.emf"/><Relationship Id="rId7" Type="http://schemas.openxmlformats.org/officeDocument/2006/relationships/image" Target="../media/image40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Relationship Id="rId6" Type="http://schemas.openxmlformats.org/officeDocument/2006/relationships/image" Target="../media/image39.emf"/><Relationship Id="rId5" Type="http://schemas.openxmlformats.org/officeDocument/2006/relationships/image" Target="../media/image38.emf"/><Relationship Id="rId4" Type="http://schemas.openxmlformats.org/officeDocument/2006/relationships/image" Target="../media/image37.emf"/><Relationship Id="rId9" Type="http://schemas.openxmlformats.org/officeDocument/2006/relationships/image" Target="../media/image4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537590</xdr:colOff>
      <xdr:row>7</xdr:row>
      <xdr:rowOff>186645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3FA6267-11D7-4D45-A6AA-3495035D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85875"/>
          <a:ext cx="539495" cy="367620"/>
        </a:xfrm>
        <a:prstGeom prst="rect">
          <a:avLst/>
        </a:prstGeom>
      </xdr:spPr>
    </xdr:pic>
    <xdr:clientData/>
  </xdr:twoCellAnchor>
  <xdr:twoCellAnchor editAs="oneCell">
    <xdr:from>
      <xdr:col>2</xdr:col>
      <xdr:colOff>103021</xdr:colOff>
      <xdr:row>6</xdr:row>
      <xdr:rowOff>17145</xdr:rowOff>
    </xdr:from>
    <xdr:to>
      <xdr:col>2</xdr:col>
      <xdr:colOff>644306</xdr:colOff>
      <xdr:row>8</xdr:row>
      <xdr:rowOff>3765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43041E2-0A02-4B54-8AF2-2E83E88E7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321" y="1304925"/>
          <a:ext cx="537475" cy="367620"/>
        </a:xfrm>
        <a:prstGeom prst="rect">
          <a:avLst/>
        </a:prstGeom>
      </xdr:spPr>
    </xdr:pic>
    <xdr:clientData/>
  </xdr:twoCellAnchor>
  <xdr:twoCellAnchor editAs="oneCell">
    <xdr:from>
      <xdr:col>3</xdr:col>
      <xdr:colOff>261308</xdr:colOff>
      <xdr:row>6</xdr:row>
      <xdr:rowOff>18877</xdr:rowOff>
    </xdr:from>
    <xdr:to>
      <xdr:col>4</xdr:col>
      <xdr:colOff>190423</xdr:colOff>
      <xdr:row>8</xdr:row>
      <xdr:rowOff>3592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56FDCAD-2783-44F2-905F-EF29CEDC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4888" y="1306657"/>
          <a:ext cx="523475" cy="375240"/>
        </a:xfrm>
        <a:prstGeom prst="rect">
          <a:avLst/>
        </a:prstGeom>
      </xdr:spPr>
    </xdr:pic>
    <xdr:clientData/>
  </xdr:twoCellAnchor>
  <xdr:twoCellAnchor editAs="oneCell">
    <xdr:from>
      <xdr:col>4</xdr:col>
      <xdr:colOff>394830</xdr:colOff>
      <xdr:row>6</xdr:row>
      <xdr:rowOff>20782</xdr:rowOff>
    </xdr:from>
    <xdr:to>
      <xdr:col>5</xdr:col>
      <xdr:colOff>338375</xdr:colOff>
      <xdr:row>8</xdr:row>
      <xdr:rowOff>34072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B07E161-129E-4F21-BAD7-4213A42A8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61830" y="752302"/>
          <a:ext cx="536000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458392</xdr:colOff>
      <xdr:row>5</xdr:row>
      <xdr:rowOff>188595</xdr:rowOff>
    </xdr:from>
    <xdr:to>
      <xdr:col>6</xdr:col>
      <xdr:colOff>377072</xdr:colOff>
      <xdr:row>7</xdr:row>
      <xdr:rowOff>186645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DA3E8DE-F73D-492D-B25E-7AAD15535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35932" y="1285875"/>
          <a:ext cx="526375" cy="3676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</xdr:row>
          <xdr:rowOff>171450</xdr:rowOff>
        </xdr:from>
        <xdr:to>
          <xdr:col>1</xdr:col>
          <xdr:colOff>419100</xdr:colOff>
          <xdr:row>5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3</xdr:row>
          <xdr:rowOff>171450</xdr:rowOff>
        </xdr:from>
        <xdr:to>
          <xdr:col>2</xdr:col>
          <xdr:colOff>571500</xdr:colOff>
          <xdr:row>5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3</xdr:row>
          <xdr:rowOff>171450</xdr:rowOff>
        </xdr:from>
        <xdr:to>
          <xdr:col>4</xdr:col>
          <xdr:colOff>95250</xdr:colOff>
          <xdr:row>5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</xdr:row>
          <xdr:rowOff>171450</xdr:rowOff>
        </xdr:from>
        <xdr:to>
          <xdr:col>5</xdr:col>
          <xdr:colOff>190500</xdr:colOff>
          <xdr:row>5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</xdr:row>
          <xdr:rowOff>171450</xdr:rowOff>
        </xdr:from>
        <xdr:to>
          <xdr:col>6</xdr:col>
          <xdr:colOff>266700</xdr:colOff>
          <xdr:row>5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180975</xdr:rowOff>
    </xdr:from>
    <xdr:to>
      <xdr:col>3</xdr:col>
      <xdr:colOff>416719</xdr:colOff>
      <xdr:row>2</xdr:row>
      <xdr:rowOff>80962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EA2ACB9-320C-46B6-ADDD-CFABF6D9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1778794" cy="425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152400</xdr:colOff>
      <xdr:row>2</xdr:row>
      <xdr:rowOff>142875</xdr:rowOff>
    </xdr:from>
    <xdr:to>
      <xdr:col>13</xdr:col>
      <xdr:colOff>3809</xdr:colOff>
      <xdr:row>27</xdr:row>
      <xdr:rowOff>185963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D40297B2-DD82-C017-4EF6-27A7D6559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561975"/>
          <a:ext cx="3409949" cy="5196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15</xdr:col>
          <xdr:colOff>0</xdr:colOff>
          <xdr:row>0</xdr:row>
          <xdr:rowOff>171450</xdr:rowOff>
        </xdr:to>
        <xdr:sp macro="" textlink="">
          <xdr:nvSpPr>
            <xdr:cNvPr id="5121" name="Check Box 1967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238122</xdr:colOff>
      <xdr:row>0</xdr:row>
      <xdr:rowOff>0</xdr:rowOff>
    </xdr:from>
    <xdr:to>
      <xdr:col>2</xdr:col>
      <xdr:colOff>238122</xdr:colOff>
      <xdr:row>5</xdr:row>
      <xdr:rowOff>135120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BC86FD3-79C2-4AF1-86C3-12BCFE84A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2" y="0"/>
          <a:ext cx="0" cy="10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38446</xdr:colOff>
      <xdr:row>18</xdr:row>
      <xdr:rowOff>152863</xdr:rowOff>
    </xdr:from>
    <xdr:to>
      <xdr:col>2</xdr:col>
      <xdr:colOff>396240</xdr:colOff>
      <xdr:row>20</xdr:row>
      <xdr:rowOff>62193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915AA64-8DCC-46D1-9A26-91DB9E79A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696" y="3458038"/>
          <a:ext cx="357794" cy="347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3811</xdr:colOff>
      <xdr:row>1</xdr:row>
      <xdr:rowOff>0</xdr:rowOff>
    </xdr:from>
    <xdr:to>
      <xdr:col>5</xdr:col>
      <xdr:colOff>85726</xdr:colOff>
      <xdr:row>3</xdr:row>
      <xdr:rowOff>112532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69DCDB8-527E-4A7E-BA75-506A6EB5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1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38101</xdr:colOff>
      <xdr:row>22</xdr:row>
      <xdr:rowOff>85725</xdr:rowOff>
    </xdr:from>
    <xdr:to>
      <xdr:col>10</xdr:col>
      <xdr:colOff>150744</xdr:colOff>
      <xdr:row>27</xdr:row>
      <xdr:rowOff>123825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68DCCC-A798-62B4-AE02-9D3AB0BE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1" y="4205288"/>
          <a:ext cx="4732268" cy="1228725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476251</xdr:colOff>
      <xdr:row>23</xdr:row>
      <xdr:rowOff>0</xdr:rowOff>
    </xdr:from>
    <xdr:to>
      <xdr:col>14</xdr:col>
      <xdr:colOff>76201</xdr:colOff>
      <xdr:row>26</xdr:row>
      <xdr:rowOff>91096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28401EE-F0F7-4218-EC45-7CDFB596D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05576" y="4410075"/>
          <a:ext cx="2038350" cy="862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0</xdr:row>
          <xdr:rowOff>0</xdr:rowOff>
        </xdr:from>
        <xdr:to>
          <xdr:col>15</xdr:col>
          <xdr:colOff>0</xdr:colOff>
          <xdr:row>0</xdr:row>
          <xdr:rowOff>171450</xdr:rowOff>
        </xdr:to>
        <xdr:sp macro="" textlink="">
          <xdr:nvSpPr>
            <xdr:cNvPr id="14337" name="Check Box 1967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228597</xdr:colOff>
      <xdr:row>0</xdr:row>
      <xdr:rowOff>0</xdr:rowOff>
    </xdr:from>
    <xdr:to>
      <xdr:col>2</xdr:col>
      <xdr:colOff>228597</xdr:colOff>
      <xdr:row>5</xdr:row>
      <xdr:rowOff>135120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500538-31A2-496D-BD05-01905600E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47" y="0"/>
          <a:ext cx="0" cy="103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3811</xdr:colOff>
      <xdr:row>1</xdr:row>
      <xdr:rowOff>0</xdr:rowOff>
    </xdr:from>
    <xdr:to>
      <xdr:col>5</xdr:col>
      <xdr:colOff>85726</xdr:colOff>
      <xdr:row>3</xdr:row>
      <xdr:rowOff>112532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AEA325-DA32-4348-84FA-0CE99E286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1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409575</xdr:colOff>
      <xdr:row>12</xdr:row>
      <xdr:rowOff>47625</xdr:rowOff>
    </xdr:from>
    <xdr:to>
      <xdr:col>5</xdr:col>
      <xdr:colOff>137814</xdr:colOff>
      <xdr:row>19</xdr:row>
      <xdr:rowOff>180975</xdr:rowOff>
    </xdr:to>
    <xdr:pic>
      <xdr:nvPicPr>
        <xdr:cNvPr id="5" name="Obráze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32CB87-B576-41FF-B63B-5F8CD7833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" y="2124075"/>
          <a:ext cx="1947564" cy="1466850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438150</xdr:colOff>
      <xdr:row>10</xdr:row>
      <xdr:rowOff>19050</xdr:rowOff>
    </xdr:from>
    <xdr:to>
      <xdr:col>11</xdr:col>
      <xdr:colOff>200025</xdr:colOff>
      <xdr:row>21</xdr:row>
      <xdr:rowOff>55377</xdr:rowOff>
    </xdr:to>
    <xdr:pic>
      <xdr:nvPicPr>
        <xdr:cNvPr id="3" name="Obrázek 2" descr="Coming Soon Page - nopCommerce">
          <a:extLst>
            <a:ext uri="{FF2B5EF4-FFF2-40B4-BE49-F238E27FC236}">
              <a16:creationId xmlns:a16="http://schemas.microsoft.com/office/drawing/2014/main" id="{4DBFC036-2E5C-8E57-A85E-7193DAF5A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885950"/>
          <a:ext cx="2124075" cy="2131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416947</xdr:colOff>
      <xdr:row>32</xdr:row>
      <xdr:rowOff>130984</xdr:rowOff>
    </xdr:from>
    <xdr:to>
      <xdr:col>5</xdr:col>
      <xdr:colOff>448547</xdr:colOff>
      <xdr:row>32</xdr:row>
      <xdr:rowOff>136699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370C1354-8B85-0D35-D7E8-DA290CEC6CBF}"/>
            </a:ext>
          </a:extLst>
        </xdr:cNvPr>
        <xdr:cNvCxnSpPr/>
      </xdr:nvCxnSpPr>
      <xdr:spPr>
        <a:xfrm>
          <a:off x="3221530" y="6174067"/>
          <a:ext cx="825350" cy="571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123825</xdr:colOff>
      <xdr:row>1</xdr:row>
      <xdr:rowOff>0</xdr:rowOff>
    </xdr:from>
    <xdr:to>
      <xdr:col>3</xdr:col>
      <xdr:colOff>872490</xdr:colOff>
      <xdr:row>3</xdr:row>
      <xdr:rowOff>112532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96E1B95-B04F-4088-9A6D-03CC46A3D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90500"/>
          <a:ext cx="1710690" cy="436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646206</xdr:colOff>
      <xdr:row>26</xdr:row>
      <xdr:rowOff>67234</xdr:rowOff>
    </xdr:from>
    <xdr:to>
      <xdr:col>0</xdr:col>
      <xdr:colOff>647774</xdr:colOff>
      <xdr:row>30</xdr:row>
      <xdr:rowOff>169992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25B5D6B-FEFA-4B4D-8349-C5B55479D489}"/>
            </a:ext>
          </a:extLst>
        </xdr:cNvPr>
        <xdr:cNvCxnSpPr/>
      </xdr:nvCxnSpPr>
      <xdr:spPr>
        <a:xfrm flipH="1" flipV="1">
          <a:off x="646206" y="4967317"/>
          <a:ext cx="1568" cy="86475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412130</xdr:colOff>
      <xdr:row>46</xdr:row>
      <xdr:rowOff>135717</xdr:rowOff>
    </xdr:from>
    <xdr:to>
      <xdr:col>6</xdr:col>
      <xdr:colOff>1042147</xdr:colOff>
      <xdr:row>69</xdr:row>
      <xdr:rowOff>106343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615750D-D395-0856-EA53-ECE174D54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306" y="8977158"/>
          <a:ext cx="4764988" cy="51141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11206</xdr:colOff>
          <xdr:row>184</xdr:row>
          <xdr:rowOff>171012</xdr:rowOff>
        </xdr:from>
        <xdr:to>
          <xdr:col>5</xdr:col>
          <xdr:colOff>488240</xdr:colOff>
          <xdr:row>195</xdr:row>
          <xdr:rowOff>102236</xdr:rowOff>
        </xdr:to>
        <xdr:pic>
          <xdr:nvPicPr>
            <xdr:cNvPr id="29" name="Obrázek 28">
              <a:extLst>
                <a:ext uri="{FF2B5EF4-FFF2-40B4-BE49-F238E27FC236}">
                  <a16:creationId xmlns:a16="http://schemas.microsoft.com/office/drawing/2014/main" id="{3CB97CBD-E028-9693-245F-D8CEC6F921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8:$G$22" spid="_x0000_s1568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206" y="41501229"/>
              <a:ext cx="4071686" cy="202672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896471</xdr:colOff>
          <xdr:row>185</xdr:row>
          <xdr:rowOff>14129</xdr:rowOff>
        </xdr:from>
        <xdr:to>
          <xdr:col>7</xdr:col>
          <xdr:colOff>190500</xdr:colOff>
          <xdr:row>195</xdr:row>
          <xdr:rowOff>122384</xdr:rowOff>
        </xdr:to>
        <xdr:pic>
          <xdr:nvPicPr>
            <xdr:cNvPr id="30" name="Obrázek 29">
              <a:extLst>
                <a:ext uri="{FF2B5EF4-FFF2-40B4-BE49-F238E27FC236}">
                  <a16:creationId xmlns:a16="http://schemas.microsoft.com/office/drawing/2014/main" id="{8499DD68-E40C-F566-00F6-515A5CB302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5" spid="_x0000_s15687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91123" y="41534846"/>
              <a:ext cx="2192942" cy="201325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11206</xdr:colOff>
          <xdr:row>195</xdr:row>
          <xdr:rowOff>174270</xdr:rowOff>
        </xdr:from>
        <xdr:to>
          <xdr:col>7</xdr:col>
          <xdr:colOff>1083160</xdr:colOff>
          <xdr:row>200</xdr:row>
          <xdr:rowOff>169629</xdr:rowOff>
        </xdr:to>
        <xdr:pic>
          <xdr:nvPicPr>
            <xdr:cNvPr id="31" name="Obrázek 30">
              <a:extLst>
                <a:ext uri="{FF2B5EF4-FFF2-40B4-BE49-F238E27FC236}">
                  <a16:creationId xmlns:a16="http://schemas.microsoft.com/office/drawing/2014/main" id="{5FC695EC-A4EC-F645-90B8-0CAD51B6DF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25:$K$31" spid="_x0000_s1568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1206" y="43599987"/>
              <a:ext cx="7565519" cy="9478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74862</xdr:colOff>
          <xdr:row>201</xdr:row>
          <xdr:rowOff>112059</xdr:rowOff>
        </xdr:from>
        <xdr:to>
          <xdr:col>7</xdr:col>
          <xdr:colOff>3501</xdr:colOff>
          <xdr:row>216</xdr:row>
          <xdr:rowOff>6177</xdr:rowOff>
        </xdr:to>
        <xdr:pic>
          <xdr:nvPicPr>
            <xdr:cNvPr id="32" name="Obrázek 31">
              <a:extLst>
                <a:ext uri="{FF2B5EF4-FFF2-40B4-BE49-F238E27FC236}">
                  <a16:creationId xmlns:a16="http://schemas.microsoft.com/office/drawing/2014/main" id="{5D8B1723-F16E-FFBA-C12D-8E07AAC350A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46:$L$69" spid="_x0000_s1568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4862" y="44655441"/>
              <a:ext cx="6428051" cy="27516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216</xdr:row>
          <xdr:rowOff>179294</xdr:rowOff>
        </xdr:from>
        <xdr:to>
          <xdr:col>6</xdr:col>
          <xdr:colOff>67235</xdr:colOff>
          <xdr:row>235</xdr:row>
          <xdr:rowOff>133582</xdr:rowOff>
        </xdr:to>
        <xdr:pic>
          <xdr:nvPicPr>
            <xdr:cNvPr id="33" name="Obrázek 32">
              <a:extLst>
                <a:ext uri="{FF2B5EF4-FFF2-40B4-BE49-F238E27FC236}">
                  <a16:creationId xmlns:a16="http://schemas.microsoft.com/office/drawing/2014/main" id="{3A6032AB-7D7C-01B7-5384-815903F12E2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74:$I$101" spid="_x0000_s1569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0" y="47580176"/>
              <a:ext cx="4919382" cy="35737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250167</xdr:colOff>
          <xdr:row>216</xdr:row>
          <xdr:rowOff>179296</xdr:rowOff>
        </xdr:from>
        <xdr:to>
          <xdr:col>8</xdr:col>
          <xdr:colOff>89648</xdr:colOff>
          <xdr:row>235</xdr:row>
          <xdr:rowOff>145677</xdr:rowOff>
        </xdr:to>
        <xdr:pic>
          <xdr:nvPicPr>
            <xdr:cNvPr id="34" name="Obrázek 33">
              <a:extLst>
                <a:ext uri="{FF2B5EF4-FFF2-40B4-BE49-F238E27FC236}">
                  <a16:creationId xmlns:a16="http://schemas.microsoft.com/office/drawing/2014/main" id="{487E8F09-8EAD-241A-42AD-21550EC699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74:$Q$101" spid="_x0000_s1569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3858461" y="47580178"/>
              <a:ext cx="3851187" cy="35858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247</xdr:row>
          <xdr:rowOff>156881</xdr:rowOff>
        </xdr:from>
        <xdr:to>
          <xdr:col>6</xdr:col>
          <xdr:colOff>78441</xdr:colOff>
          <xdr:row>266</xdr:row>
          <xdr:rowOff>157980</xdr:rowOff>
        </xdr:to>
        <xdr:pic>
          <xdr:nvPicPr>
            <xdr:cNvPr id="35" name="Obrázek 34">
              <a:extLst>
                <a:ext uri="{FF2B5EF4-FFF2-40B4-BE49-F238E27FC236}">
                  <a16:creationId xmlns:a16="http://schemas.microsoft.com/office/drawing/2014/main" id="{0F674059-FBC1-2665-EAD3-159DB79E31D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04:$I$131" spid="_x0000_s1569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53463263"/>
              <a:ext cx="4930588" cy="36205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246533</xdr:colOff>
          <xdr:row>247</xdr:row>
          <xdr:rowOff>168090</xdr:rowOff>
        </xdr:from>
        <xdr:to>
          <xdr:col>8</xdr:col>
          <xdr:colOff>78444</xdr:colOff>
          <xdr:row>266</xdr:row>
          <xdr:rowOff>166062</xdr:rowOff>
        </xdr:to>
        <xdr:pic>
          <xdr:nvPicPr>
            <xdr:cNvPr id="36" name="Obrázek 35">
              <a:extLst>
                <a:ext uri="{FF2B5EF4-FFF2-40B4-BE49-F238E27FC236}">
                  <a16:creationId xmlns:a16="http://schemas.microsoft.com/office/drawing/2014/main" id="{F57F06B7-CBEA-DF40-E09C-0223292B1FC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104:$Q$131" spid="_x0000_s15693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3854827" y="53474472"/>
              <a:ext cx="3843617" cy="36174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278</xdr:row>
          <xdr:rowOff>33619</xdr:rowOff>
        </xdr:from>
        <xdr:to>
          <xdr:col>6</xdr:col>
          <xdr:colOff>78440</xdr:colOff>
          <xdr:row>297</xdr:row>
          <xdr:rowOff>29882</xdr:rowOff>
        </xdr:to>
        <xdr:pic>
          <xdr:nvPicPr>
            <xdr:cNvPr id="37" name="Obrázek 36">
              <a:extLst>
                <a:ext uri="{FF2B5EF4-FFF2-40B4-BE49-F238E27FC236}">
                  <a16:creationId xmlns:a16="http://schemas.microsoft.com/office/drawing/2014/main" id="{7228B8EB-4D5F-FC7D-BD77-BE767B3EC86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35:$I$162" spid="_x0000_s15694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0" y="59245501"/>
              <a:ext cx="4930587" cy="361576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4</v>
  </rv>
  <rv s="0">
    <v>1</v>
    <v>5</v>
  </rv>
  <rv s="0">
    <v>2</v>
    <v>5</v>
  </rv>
  <rv s="0">
    <v>3</v>
    <v>5</v>
  </rv>
  <rv s="0">
    <v>4</v>
    <v>5</v>
  </rv>
  <rv s="0">
    <v>0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objednavky@demos-trade.com" TargetMode="External"/><Relationship Id="rId1" Type="http://schemas.openxmlformats.org/officeDocument/2006/relationships/hyperlink" Target="mailto:objednavky@demos-trad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1F3B-9C81-4A8D-B597-0CE1ABE673E7}">
  <sheetPr codeName="List1"/>
  <dimension ref="A1:N29"/>
  <sheetViews>
    <sheetView showGridLines="0" showRowColHeaders="0" tabSelected="1" zoomScaleNormal="100" workbookViewId="0">
      <selection activeCell="L2" sqref="L2:M2"/>
    </sheetView>
  </sheetViews>
  <sheetFormatPr defaultColWidth="0" defaultRowHeight="15" zeroHeight="1" x14ac:dyDescent="0.25"/>
  <cols>
    <col min="1" max="1" width="9.140625" customWidth="1"/>
    <col min="2" max="2" width="9.7109375" customWidth="1"/>
    <col min="3" max="3" width="10.7109375" customWidth="1"/>
    <col min="4" max="4" width="8.85546875" customWidth="1"/>
    <col min="5" max="11" width="9.140625" customWidth="1"/>
    <col min="12" max="12" width="16.7109375" customWidth="1"/>
    <col min="13" max="14" width="9.140625" customWidth="1"/>
    <col min="15" max="16384" width="9.140625" hidden="1"/>
  </cols>
  <sheetData>
    <row r="1" spans="1:13" ht="15.75" customHeight="1" x14ac:dyDescent="0.25"/>
    <row r="2" spans="1:13" ht="25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77" t="str">
        <f>Překlady!C8</f>
        <v>Ďalšie</v>
      </c>
      <c r="M2" s="77"/>
    </row>
    <row r="3" spans="1:13" x14ac:dyDescent="0.25"/>
    <row r="4" spans="1:13" x14ac:dyDescent="0.25"/>
    <row r="5" spans="1:13" x14ac:dyDescent="0.25"/>
    <row r="6" spans="1:13" x14ac:dyDescent="0.25"/>
    <row r="7" spans="1:13" x14ac:dyDescent="0.25"/>
    <row r="8" spans="1:13" x14ac:dyDescent="0.25"/>
    <row r="9" spans="1:13" x14ac:dyDescent="0.25"/>
    <row r="10" spans="1:13" x14ac:dyDescent="0.25"/>
    <row r="11" spans="1:13" ht="46.5" x14ac:dyDescent="0.7">
      <c r="B11" s="32" t="s">
        <v>613</v>
      </c>
    </row>
    <row r="12" spans="1:13" x14ac:dyDescent="0.25"/>
    <row r="13" spans="1:13" x14ac:dyDescent="0.25"/>
    <row r="14" spans="1:13" x14ac:dyDescent="0.25">
      <c r="B14" s="78" t="str">
        <f>Překlady!C57</f>
        <v>Konfigurátor pre výpočet čiel a vŕtania zásuviek StrongMax s 18 mm dnom</v>
      </c>
      <c r="C14" s="78"/>
      <c r="D14" s="78"/>
      <c r="E14" s="78"/>
      <c r="F14" s="78"/>
      <c r="G14" s="78"/>
      <c r="H14" s="78"/>
    </row>
    <row r="15" spans="1:13" x14ac:dyDescent="0.25">
      <c r="B15" s="78"/>
      <c r="C15" s="78"/>
      <c r="D15" s="78"/>
      <c r="E15" s="78"/>
      <c r="F15" s="78"/>
      <c r="G15" s="78"/>
      <c r="H15" s="78"/>
    </row>
    <row r="16" spans="1:13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>
      <c r="A28" t="str">
        <f>Překlady!C48</f>
        <v>Verzia 1.00</v>
      </c>
    </row>
    <row r="29" spans="1:1" x14ac:dyDescent="0.25"/>
  </sheetData>
  <sheetProtection algorithmName="SHA-512" hashValue="Ma+4d4K9nqgD8lndbeZm8JuWSoxlMmDR+aV0IB0v+nDQ/tAw59hucGgiW7VQnqLxqf23lO1Iv0efy1xAMPtbyw==" saltValue="JCXlySsUwoymeW6fzVlY2w==" spinCount="100000" sheet="1" objects="1" scenarios="1" selectLockedCells="1"/>
  <mergeCells count="2">
    <mergeCell ref="L2:M2"/>
    <mergeCell ref="B14:H15"/>
  </mergeCells>
  <hyperlinks>
    <hyperlink ref="L2:M2" location="Zakaznik!A1" display="Zakaznik!A1" xr:uid="{2CC3D827-5FB9-4535-ACEB-E01843722914}"/>
  </hyperlink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defaultSize="0" autoFill="0" autoLine="0" autoPict="0">
                <anchor moveWithCells="1">
                  <from>
                    <xdr:col>1</xdr:col>
                    <xdr:colOff>180975</xdr:colOff>
                    <xdr:row>3</xdr:row>
                    <xdr:rowOff>171450</xdr:rowOff>
                  </from>
                  <to>
                    <xdr:col>1</xdr:col>
                    <xdr:colOff>419100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2</xdr:col>
                    <xdr:colOff>333375</xdr:colOff>
                    <xdr:row>3</xdr:row>
                    <xdr:rowOff>171450</xdr:rowOff>
                  </from>
                  <to>
                    <xdr:col>2</xdr:col>
                    <xdr:colOff>571500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3</xdr:col>
                    <xdr:colOff>466725</xdr:colOff>
                    <xdr:row>3</xdr:row>
                    <xdr:rowOff>171450</xdr:rowOff>
                  </from>
                  <to>
                    <xdr:col>4</xdr:col>
                    <xdr:colOff>95250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4</xdr:col>
                    <xdr:colOff>561975</xdr:colOff>
                    <xdr:row>3</xdr:row>
                    <xdr:rowOff>171450</xdr:rowOff>
                  </from>
                  <to>
                    <xdr:col>5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autoFill="0" autoLine="0" autoPict="0">
                <anchor moveWithCells="1">
                  <from>
                    <xdr:col>6</xdr:col>
                    <xdr:colOff>28575</xdr:colOff>
                    <xdr:row>3</xdr:row>
                    <xdr:rowOff>171450</xdr:rowOff>
                  </from>
                  <to>
                    <xdr:col>6</xdr:col>
                    <xdr:colOff>266700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161BE-7E2F-4ECF-BA77-AC561D5E0F2E}">
  <sheetPr codeName="List8"/>
  <dimension ref="A1:W39"/>
  <sheetViews>
    <sheetView showGridLines="0" showRowColHeaders="0" zoomScale="90" zoomScaleNormal="90" workbookViewId="0">
      <selection activeCell="B30" sqref="B30:C31"/>
    </sheetView>
  </sheetViews>
  <sheetFormatPr defaultColWidth="0" defaultRowHeight="15" customHeight="1" zeroHeight="1" x14ac:dyDescent="0.25"/>
  <cols>
    <col min="1" max="1" width="4" style="7" customWidth="1"/>
    <col min="2" max="3" width="8.85546875" style="7" customWidth="1"/>
    <col min="4" max="4" width="6.7109375" style="7" customWidth="1"/>
    <col min="5" max="11" width="8.85546875" style="7" customWidth="1"/>
    <col min="12" max="12" width="12.5703125" style="7" customWidth="1"/>
    <col min="13" max="13" width="8.85546875" style="7" customWidth="1"/>
    <col min="14" max="14" width="15.140625" style="7" customWidth="1"/>
    <col min="15" max="16" width="8.85546875" style="7" customWidth="1"/>
    <col min="17" max="17" width="6.7109375" style="7" customWidth="1"/>
    <col min="18" max="20" width="8.85546875" style="7" customWidth="1"/>
    <col min="21" max="22" width="8.85546875" style="7" hidden="1" customWidth="1"/>
    <col min="23" max="23" width="17.140625" style="7" hidden="1" customWidth="1"/>
    <col min="24" max="16384" width="8.85546875" style="7" hidden="1"/>
  </cols>
  <sheetData>
    <row r="1" spans="1:2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3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81" t="str">
        <f>Překlady!C7</f>
        <v>Úvod</v>
      </c>
      <c r="R2" s="77"/>
      <c r="S2" s="77"/>
      <c r="W2" s="7" t="b">
        <f>P30</f>
        <v>0</v>
      </c>
    </row>
    <row r="3" spans="1:23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81"/>
      <c r="R3" s="77"/>
      <c r="S3" s="77"/>
    </row>
    <row r="4" spans="1:23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23" x14ac:dyDescent="0.25">
      <c r="A5" s="11"/>
      <c r="B5" s="11"/>
      <c r="C5" s="11"/>
      <c r="D5" s="11"/>
      <c r="F5" s="11"/>
      <c r="G5" s="11"/>
    </row>
    <row r="6" spans="1:23" ht="21" x14ac:dyDescent="0.35">
      <c r="C6" s="38" t="str">
        <f>Překlady!C74</f>
        <v>Podmienky a odporúčania pre správne objednanie</v>
      </c>
      <c r="S6" s="8"/>
    </row>
    <row r="7" spans="1:23" x14ac:dyDescent="0.25"/>
    <row r="8" spans="1:23" ht="17.25" customHeight="1" x14ac:dyDescent="0.25">
      <c r="C8" s="7" t="str">
        <f>Překlady!C39</f>
        <v>Vždy používajte aktuálnu verziu formuláru, ktorý je dostupný na našich stránkach.</v>
      </c>
    </row>
    <row r="9" spans="1:23" ht="6.75" customHeight="1" x14ac:dyDescent="0.25"/>
    <row r="10" spans="1:23" ht="17.25" customHeight="1" x14ac:dyDescent="0.25">
      <c r="C10" s="7" t="str">
        <f>Překlady!C54</f>
        <v>Pri vyplňaní formulára postupujte vždy zhora nadol. Ak urobíte spätne zmenu, prekontrolujte či sú nasledovné položky správne.</v>
      </c>
    </row>
    <row r="11" spans="1:23" ht="6.75" customHeight="1" x14ac:dyDescent="0.25"/>
    <row r="12" spans="1:23" ht="33.75" customHeight="1" x14ac:dyDescent="0.25">
      <c r="C12" s="87" t="str">
        <f>Překlady!C50</f>
        <v>Tento formulár slúži ako pomôcka pri výpočte výšky čela, vŕtania výsuvov a čiel. V niektorých prípadoch nemusia byť výpočty presné a spoločnosť Démos Trade nezodpovedá za škody spôsobené týmto formulárom.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22"/>
    </row>
    <row r="13" spans="1:23" ht="6.75" customHeight="1" x14ac:dyDescent="0.25"/>
    <row r="14" spans="1:23" ht="17.25" customHeight="1" x14ac:dyDescent="0.25">
      <c r="C14" s="7" t="str">
        <f>Překlady!C55&amp;Překlady!C56</f>
        <v>Vyplnenú objednávku zašlite na adresu objednavky@demos-trade.com</v>
      </c>
    </row>
    <row r="15" spans="1:23" ht="6.75" customHeight="1" x14ac:dyDescent="0.25"/>
    <row r="16" spans="1:23" ht="17.25" customHeight="1" x14ac:dyDescent="0.25"/>
    <row r="17" spans="2:19" ht="6.75" customHeight="1" x14ac:dyDescent="0.25"/>
    <row r="18" spans="2:19" ht="17.25" customHeight="1" x14ac:dyDescent="0.25"/>
    <row r="19" spans="2:19" ht="17.25" customHeight="1" x14ac:dyDescent="0.25"/>
    <row r="20" spans="2:19" ht="17.25" customHeight="1" x14ac:dyDescent="0.35">
      <c r="D20" s="38" t="str">
        <f>Překlady!C75</f>
        <v>Pre zjednodušenie práce …</v>
      </c>
    </row>
    <row r="21" spans="2:19" ht="17.25" customHeight="1" x14ac:dyDescent="0.25"/>
    <row r="22" spans="2:19" ht="17.25" customHeight="1" x14ac:dyDescent="0.25">
      <c r="C22" s="40">
        <v>396273</v>
      </c>
      <c r="D22" s="7" t="str">
        <f>Karty!B99</f>
        <v>STRONG označovacia šablona pro výsuvy nerezová</v>
      </c>
      <c r="L22" s="41">
        <v>179242</v>
      </c>
      <c r="M22" s="7" t="str">
        <f>Karty!B100</f>
        <v>StrongBox označovač čela - sada P+L</v>
      </c>
    </row>
    <row r="23" spans="2:19" ht="18" customHeight="1" x14ac:dyDescent="0.25"/>
    <row r="24" spans="2:19" ht="15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2:19" ht="30.75" customHeight="1" x14ac:dyDescent="0.25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2:19" ht="15" customHeight="1" x14ac:dyDescent="0.25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9" ht="15" customHeight="1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9" ht="15" customHeight="1" x14ac:dyDescent="0.25"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</row>
    <row r="29" spans="2:19" ht="45" customHeight="1" thickBot="1" x14ac:dyDescent="0.3"/>
    <row r="30" spans="2:19" ht="15.75" customHeight="1" x14ac:dyDescent="0.25">
      <c r="B30" s="79" t="str">
        <f>Překlady!C52</f>
        <v>Späť</v>
      </c>
      <c r="C30" s="80"/>
      <c r="E30" s="82" t="str">
        <f>Překlady!C51</f>
        <v>Potvrdzujem, že som porozumel a súhlasím s uvedenými podmienkami a odporúčaniami.</v>
      </c>
      <c r="F30" s="82"/>
      <c r="G30" s="82"/>
      <c r="H30" s="82"/>
      <c r="I30" s="82"/>
      <c r="J30" s="82"/>
      <c r="K30" s="82"/>
      <c r="L30" s="82"/>
      <c r="M30" s="82"/>
      <c r="N30" s="82"/>
      <c r="O30" s="83"/>
      <c r="P30" s="84" t="b">
        <v>0</v>
      </c>
      <c r="R30" s="79" t="str">
        <f>Překlady!C8</f>
        <v>Ďalšie</v>
      </c>
      <c r="S30" s="80"/>
    </row>
    <row r="31" spans="2:19" ht="15.75" customHeight="1" thickBot="1" x14ac:dyDescent="0.3">
      <c r="B31" s="79"/>
      <c r="C31" s="80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3"/>
      <c r="P31" s="85"/>
      <c r="R31" s="79"/>
      <c r="S31" s="80"/>
    </row>
    <row r="32" spans="2:19" x14ac:dyDescent="0.25">
      <c r="E32" s="1"/>
      <c r="F32" s="1"/>
      <c r="G32" s="1"/>
      <c r="H32" s="1"/>
      <c r="I32" s="1"/>
      <c r="J32" s="1"/>
      <c r="K32" s="1"/>
      <c r="L32" s="1"/>
      <c r="M32" s="1"/>
    </row>
    <row r="33" spans="5:16" hidden="1" x14ac:dyDescent="0.25"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5:16" hidden="1" x14ac:dyDescent="0.25"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5:16" hidden="1" x14ac:dyDescent="0.25"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5:16" hidden="1" x14ac:dyDescent="0.25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8" spans="5:16" hidden="1" x14ac:dyDescent="0.25"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5:16" hidden="1" x14ac:dyDescent="0.25"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</sheetData>
  <sheetProtection algorithmName="SHA-512" hashValue="E9v7fpu9s5bAglLK9a+ddFuJa9uIB68ZYgSj1y5vhLn4h8ihcQGaarxCH2PiPoju91vDpuuDTWGMoyxxKycODg==" saltValue="QB757ZLn9qZgl72cGTutmg==" spinCount="100000" sheet="1" objects="1" scenarios="1" selectLockedCells="1"/>
  <mergeCells count="7">
    <mergeCell ref="B30:C31"/>
    <mergeCell ref="Q2:S3"/>
    <mergeCell ref="E30:O31"/>
    <mergeCell ref="P30:P31"/>
    <mergeCell ref="R30:S31"/>
    <mergeCell ref="E28:P28"/>
    <mergeCell ref="C12:R12"/>
  </mergeCells>
  <conditionalFormatting sqref="R30:S31">
    <cfRule type="expression" dxfId="7" priority="1">
      <formula>W2=FALSE</formula>
    </cfRule>
  </conditionalFormatting>
  <hyperlinks>
    <hyperlink ref="B30:C31" location="Úvod!A1" display="Úvod!A1" xr:uid="{498EC4BC-1AC0-4A5F-BEDF-3A655F140DD7}"/>
    <hyperlink ref="R30:S31" location="Menu!A1" display="Menu!A1" xr:uid="{A162A66D-3ED5-4248-9C67-38DBCA874D7E}"/>
    <hyperlink ref="Q2:S3" location="Úvod!A1" display="Úvod!A1" xr:uid="{07E1EDCA-1FF3-4536-9697-6C915C446B23}"/>
  </hyperlink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9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0</xdr:row>
                    <xdr:rowOff>0</xdr:rowOff>
                  </from>
                  <to>
                    <xdr:col>15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85BD-3FCC-4829-871D-0B1A5390B254}">
  <dimension ref="A1:W39"/>
  <sheetViews>
    <sheetView showGridLines="0" showRowColHeaders="0" zoomScaleNormal="100" workbookViewId="0">
      <selection activeCell="C8" sqref="C8:E9"/>
    </sheetView>
  </sheetViews>
  <sheetFormatPr defaultColWidth="0" defaultRowHeight="15" customHeight="1" zeroHeight="1" x14ac:dyDescent="0.25"/>
  <cols>
    <col min="1" max="1" width="4" style="7" customWidth="1"/>
    <col min="2" max="3" width="8.85546875" style="7" customWidth="1"/>
    <col min="4" max="4" width="6.7109375" style="7" customWidth="1"/>
    <col min="5" max="13" width="8.85546875" style="7" customWidth="1"/>
    <col min="14" max="14" width="15.140625" style="7" customWidth="1"/>
    <col min="15" max="16" width="8.85546875" style="7" customWidth="1"/>
    <col min="17" max="17" width="6.7109375" style="7" customWidth="1"/>
    <col min="18" max="20" width="8.85546875" style="7" customWidth="1"/>
    <col min="21" max="22" width="8.85546875" style="7" hidden="1" customWidth="1"/>
    <col min="23" max="23" width="17.140625" style="7" hidden="1" customWidth="1"/>
    <col min="24" max="16384" width="8.85546875" style="7" hidden="1"/>
  </cols>
  <sheetData>
    <row r="1" spans="1:20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2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81" t="str">
        <f>Překlady!C7</f>
        <v>Úvod</v>
      </c>
      <c r="R2" s="77"/>
      <c r="S2" s="77"/>
      <c r="T2" s="77"/>
    </row>
    <row r="3" spans="1:20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81"/>
      <c r="R3" s="77"/>
      <c r="S3" s="77"/>
      <c r="T3" s="77"/>
    </row>
    <row r="4" spans="1:20" x14ac:dyDescent="0.25"/>
    <row r="5" spans="1:20" x14ac:dyDescent="0.25"/>
    <row r="6" spans="1:20" x14ac:dyDescent="0.25"/>
    <row r="7" spans="1:20" x14ac:dyDescent="0.25">
      <c r="E7" s="15"/>
    </row>
    <row r="8" spans="1:20" ht="16.5" customHeight="1" x14ac:dyDescent="0.25">
      <c r="C8" s="79" t="str">
        <f>Překlady!C5</f>
        <v>Zásuvky s čelom</v>
      </c>
      <c r="D8" s="80"/>
      <c r="E8" s="80"/>
      <c r="I8" s="89" t="str">
        <f>Překlady!C6</f>
        <v>Vnútorné zásuvky</v>
      </c>
      <c r="J8" s="90"/>
      <c r="K8" s="90"/>
    </row>
    <row r="9" spans="1:20" ht="15" customHeight="1" x14ac:dyDescent="0.25">
      <c r="C9" s="79"/>
      <c r="D9" s="80"/>
      <c r="E9" s="80"/>
      <c r="I9" s="89"/>
      <c r="J9" s="90"/>
      <c r="K9" s="90"/>
    </row>
    <row r="10" spans="1:20" ht="15" customHeight="1" x14ac:dyDescent="0.25"/>
    <row r="11" spans="1:20" ht="15" customHeight="1" x14ac:dyDescent="0.25"/>
    <row r="12" spans="1:20" ht="15" customHeight="1" x14ac:dyDescent="0.25"/>
    <row r="13" spans="1:20" ht="15" customHeight="1" x14ac:dyDescent="0.25"/>
    <row r="14" spans="1:20" ht="15" customHeight="1" x14ac:dyDescent="0.25"/>
    <row r="15" spans="1:20" ht="15" customHeight="1" x14ac:dyDescent="0.25"/>
    <row r="16" spans="1:20" ht="15" customHeight="1" x14ac:dyDescent="0.25"/>
    <row r="17" spans="2:16" ht="15" customHeight="1" x14ac:dyDescent="0.25"/>
    <row r="18" spans="2:16" ht="15" customHeight="1" x14ac:dyDescent="0.25"/>
    <row r="19" spans="2:16" ht="15" customHeight="1" x14ac:dyDescent="0.25"/>
    <row r="20" spans="2:16" ht="15" customHeight="1" x14ac:dyDescent="0.25"/>
    <row r="21" spans="2:16" ht="15" customHeight="1" x14ac:dyDescent="0.25"/>
    <row r="22" spans="2:16" ht="15" customHeight="1" x14ac:dyDescent="0.25"/>
    <row r="23" spans="2:16" ht="15" customHeight="1" x14ac:dyDescent="0.25"/>
    <row r="24" spans="2:16" ht="15" customHeight="1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2:16" ht="15" customHeight="1" x14ac:dyDescent="0.25"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2:16" ht="15" customHeight="1" x14ac:dyDescent="0.25"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2:16" ht="15" customHeight="1" x14ac:dyDescent="0.25"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15" customHeight="1" x14ac:dyDescent="0.25"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16" x14ac:dyDescent="0.25"/>
    <row r="30" spans="2:16" ht="15.75" customHeight="1" x14ac:dyDescent="0.25">
      <c r="B30" s="91" t="str">
        <f>Překlady!C52</f>
        <v>Späť</v>
      </c>
      <c r="C30" s="9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2:16" ht="15.75" customHeight="1" x14ac:dyDescent="0.25">
      <c r="B31" s="91"/>
      <c r="C31" s="9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2:16" x14ac:dyDescent="0.25">
      <c r="E32" s="1"/>
      <c r="F32" s="1"/>
      <c r="G32" s="1"/>
      <c r="H32" s="1"/>
      <c r="I32" s="1"/>
      <c r="J32" s="1"/>
      <c r="K32" s="1"/>
      <c r="L32" s="1"/>
      <c r="M32" s="1"/>
    </row>
    <row r="33" spans="5:16" hidden="1" x14ac:dyDescent="0.25"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</row>
    <row r="34" spans="5:16" hidden="1" x14ac:dyDescent="0.25"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</row>
    <row r="35" spans="5:16" hidden="1" x14ac:dyDescent="0.25"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5:16" hidden="1" x14ac:dyDescent="0.25"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</row>
    <row r="38" spans="5:16" hidden="1" x14ac:dyDescent="0.25"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</row>
    <row r="39" spans="5:16" hidden="1" x14ac:dyDescent="0.25"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</row>
  </sheetData>
  <sheetProtection algorithmName="SHA-512" hashValue="th3I+zggfoiMLp+oW/dDbTFU2KeV9gkfg9ozVBakPtxH5qurQbRCkUR/3ER815pWtDnjQz3Senl/D7DCyLiplg==" saltValue="7vsgBkZpwApuT1JeUYCcQA==" spinCount="100000" sheet="1" objects="1" scenarios="1" selectLockedCells="1"/>
  <mergeCells count="9">
    <mergeCell ref="Q2:T3"/>
    <mergeCell ref="E35:P35"/>
    <mergeCell ref="E36:P36"/>
    <mergeCell ref="E38:P39"/>
    <mergeCell ref="C8:E9"/>
    <mergeCell ref="I8:K9"/>
    <mergeCell ref="B30:C31"/>
    <mergeCell ref="E33:P33"/>
    <mergeCell ref="E34:P34"/>
  </mergeCells>
  <conditionalFormatting sqref="R30:S31">
    <cfRule type="expression" priority="1">
      <formula>W2=NERAVDA</formula>
    </cfRule>
  </conditionalFormatting>
  <hyperlinks>
    <hyperlink ref="B30:C31" location="Zakaznik!A1" display="Zakaznik!A1" xr:uid="{B49B7CA8-DF95-44CF-B80F-AA3CA38FAD0A}"/>
    <hyperlink ref="Q2:T3" location="Úvod!A1" display="Úvod!A1" xr:uid="{1F6F60C0-B133-408F-ABD2-D9B991CC317A}"/>
    <hyperlink ref="C8:E9" location="čelo!A1" display="čelo!A1" xr:uid="{6F5180D4-5193-42F1-BAE7-75BB90697C3F}"/>
  </hyperlink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967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0</xdr:row>
                    <xdr:rowOff>0</xdr:rowOff>
                  </from>
                  <to>
                    <xdr:col>15</xdr:col>
                    <xdr:colOff>0</xdr:colOff>
                    <xdr:row>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594F-36FA-4A55-A876-2980C28532F8}">
  <sheetPr codeName="List3"/>
  <dimension ref="B1:J76"/>
  <sheetViews>
    <sheetView topLeftCell="A46" workbookViewId="0">
      <selection activeCell="G56" sqref="G56"/>
    </sheetView>
  </sheetViews>
  <sheetFormatPr defaultRowHeight="15" x14ac:dyDescent="0.25"/>
  <cols>
    <col min="2" max="2" width="15.28515625" customWidth="1"/>
    <col min="3" max="3" width="23.28515625" customWidth="1"/>
    <col min="4" max="4" width="31.28515625" bestFit="1" customWidth="1"/>
    <col min="5" max="5" width="18" customWidth="1"/>
    <col min="6" max="6" width="26.7109375" customWidth="1"/>
    <col min="7" max="7" width="30.85546875" customWidth="1"/>
  </cols>
  <sheetData>
    <row r="1" spans="2:10" x14ac:dyDescent="0.25">
      <c r="B1" t="s">
        <v>696</v>
      </c>
      <c r="C1" t="s">
        <v>695</v>
      </c>
      <c r="D1">
        <v>2</v>
      </c>
    </row>
    <row r="2" spans="2:10" x14ac:dyDescent="0.25"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782</v>
      </c>
      <c r="J2" t="s">
        <v>783</v>
      </c>
    </row>
    <row r="3" spans="2:10" x14ac:dyDescent="0.25">
      <c r="C3" t="str">
        <f>IF($D$1=1,D:D,IF($D$1=2,E:E,IF($D$1=3,F:F,IF($D$1=4,G:G,IF($D$1=5,H:H)))))</f>
        <v>slovensky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5" spans="2:10" x14ac:dyDescent="0.25">
      <c r="C5" t="str">
        <f>IF($D$1=1,D:D,IF($D$1=2,E:E,IF($D$1=3,F:F,IF($D$1=4,G:G,IF($D$1=5,H:H)))))</f>
        <v>Zásuvky s čelom</v>
      </c>
      <c r="D5" t="s">
        <v>698</v>
      </c>
      <c r="E5" t="s">
        <v>11</v>
      </c>
      <c r="F5" s="42" t="s">
        <v>730</v>
      </c>
      <c r="G5" t="s">
        <v>784</v>
      </c>
    </row>
    <row r="6" spans="2:10" x14ac:dyDescent="0.25">
      <c r="C6" t="str">
        <f t="shared" ref="C6:C47" si="0">IF($D$1=1,D:D,IF($D$1=2,E:E,IF($D$1=3,F:F,IF($D$1=4,G:G,IF($D$1=5,H:H)))))</f>
        <v>Vnútorné zásuvky</v>
      </c>
      <c r="D6" t="s">
        <v>13</v>
      </c>
      <c r="E6" t="s">
        <v>12</v>
      </c>
      <c r="F6" t="s">
        <v>731</v>
      </c>
      <c r="G6" t="s">
        <v>785</v>
      </c>
    </row>
    <row r="7" spans="2:10" x14ac:dyDescent="0.25">
      <c r="C7" t="str">
        <f t="shared" si="0"/>
        <v>Úvod</v>
      </c>
      <c r="D7" s="16" t="s">
        <v>10</v>
      </c>
      <c r="E7" s="16" t="s">
        <v>10</v>
      </c>
      <c r="F7" s="16" t="s">
        <v>655</v>
      </c>
      <c r="G7" s="16" t="s">
        <v>656</v>
      </c>
      <c r="H7" s="16" t="s">
        <v>657</v>
      </c>
    </row>
    <row r="8" spans="2:10" x14ac:dyDescent="0.25">
      <c r="C8" t="str">
        <f t="shared" si="0"/>
        <v>Ďalšie</v>
      </c>
      <c r="D8" t="s">
        <v>658</v>
      </c>
      <c r="E8" t="s">
        <v>659</v>
      </c>
      <c r="F8" t="s">
        <v>660</v>
      </c>
      <c r="G8" t="s">
        <v>661</v>
      </c>
      <c r="H8" t="s">
        <v>662</v>
      </c>
    </row>
    <row r="9" spans="2:10" x14ac:dyDescent="0.25">
      <c r="C9" t="str">
        <f t="shared" si="0"/>
        <v>Výška korpusu (A)</v>
      </c>
      <c r="D9" t="s">
        <v>14</v>
      </c>
      <c r="E9" t="s">
        <v>14</v>
      </c>
      <c r="F9" t="s">
        <v>732</v>
      </c>
      <c r="G9" t="s">
        <v>786</v>
      </c>
    </row>
    <row r="10" spans="2:10" x14ac:dyDescent="0.25">
      <c r="C10" t="str">
        <f t="shared" si="0"/>
        <v>Šírka korpusu (B)</v>
      </c>
      <c r="D10" t="s">
        <v>15</v>
      </c>
      <c r="E10" t="s">
        <v>833</v>
      </c>
      <c r="F10" t="s">
        <v>733</v>
      </c>
      <c r="G10" t="s">
        <v>787</v>
      </c>
    </row>
    <row r="11" spans="2:10" x14ac:dyDescent="0.25">
      <c r="C11" t="str">
        <f t="shared" si="0"/>
        <v>Hrúbka dna a stropu (C)</v>
      </c>
      <c r="D11" t="s">
        <v>16</v>
      </c>
      <c r="E11" t="s">
        <v>834</v>
      </c>
      <c r="F11" s="42" t="s">
        <v>734</v>
      </c>
      <c r="G11" t="s">
        <v>788</v>
      </c>
    </row>
    <row r="12" spans="2:10" x14ac:dyDescent="0.25">
      <c r="C12" t="str">
        <f t="shared" si="0"/>
        <v>Hrúbka bokov (D)</v>
      </c>
      <c r="D12" t="s">
        <v>17</v>
      </c>
      <c r="E12" t="s">
        <v>835</v>
      </c>
      <c r="F12" t="s">
        <v>735</v>
      </c>
      <c r="G12" t="s">
        <v>789</v>
      </c>
    </row>
    <row r="13" spans="2:10" x14ac:dyDescent="0.25">
      <c r="C13" t="str">
        <f t="shared" si="0"/>
        <v>Medzera hore (E)</v>
      </c>
      <c r="D13" t="s">
        <v>19</v>
      </c>
      <c r="E13" t="s">
        <v>836</v>
      </c>
      <c r="F13" t="s">
        <v>736</v>
      </c>
      <c r="G13" t="s">
        <v>790</v>
      </c>
    </row>
    <row r="14" spans="2:10" x14ac:dyDescent="0.25">
      <c r="C14" t="str">
        <f t="shared" si="0"/>
        <v>Medzera medzi čelami (F)</v>
      </c>
      <c r="D14" t="s">
        <v>18</v>
      </c>
      <c r="E14" t="s">
        <v>837</v>
      </c>
      <c r="F14" t="s">
        <v>737</v>
      </c>
      <c r="G14" t="s">
        <v>791</v>
      </c>
    </row>
    <row r="15" spans="2:10" x14ac:dyDescent="0.25">
      <c r="C15" t="str">
        <f t="shared" si="0"/>
        <v>Medzera dole (G)</v>
      </c>
      <c r="D15" t="s">
        <v>20</v>
      </c>
      <c r="E15" t="s">
        <v>838</v>
      </c>
      <c r="F15" t="s">
        <v>738</v>
      </c>
      <c r="G15" t="s">
        <v>792</v>
      </c>
    </row>
    <row r="16" spans="2:10" x14ac:dyDescent="0.25">
      <c r="C16" t="str">
        <f t="shared" si="0"/>
        <v>Medzera na stranách (H)</v>
      </c>
      <c r="D16" t="s">
        <v>21</v>
      </c>
      <c r="E16" t="s">
        <v>839</v>
      </c>
      <c r="F16" t="s">
        <v>739</v>
      </c>
      <c r="G16" t="s">
        <v>793</v>
      </c>
    </row>
    <row r="17" spans="3:7" x14ac:dyDescent="0.25">
      <c r="C17" t="str">
        <f t="shared" si="0"/>
        <v>Dĺžka výsuvov (I)</v>
      </c>
      <c r="D17" t="s">
        <v>22</v>
      </c>
      <c r="E17" t="s">
        <v>840</v>
      </c>
      <c r="F17" t="s">
        <v>740</v>
      </c>
      <c r="G17" t="s">
        <v>794</v>
      </c>
    </row>
    <row r="18" spans="3:7" x14ac:dyDescent="0.25">
      <c r="C18" t="str">
        <f t="shared" si="0"/>
        <v>Počet zásuviek</v>
      </c>
      <c r="D18" t="s">
        <v>23</v>
      </c>
      <c r="E18" t="s">
        <v>841</v>
      </c>
      <c r="F18" t="s">
        <v>741</v>
      </c>
      <c r="G18" t="s">
        <v>795</v>
      </c>
    </row>
    <row r="19" spans="3:7" x14ac:dyDescent="0.25">
      <c r="C19" t="str">
        <f t="shared" si="0"/>
        <v>Dopočet výšky čiel</v>
      </c>
      <c r="D19" t="s">
        <v>699</v>
      </c>
      <c r="E19" t="s">
        <v>842</v>
      </c>
      <c r="F19" s="42" t="s">
        <v>742</v>
      </c>
      <c r="G19" t="s">
        <v>796</v>
      </c>
    </row>
    <row r="20" spans="3:7" x14ac:dyDescent="0.25">
      <c r="C20" t="str">
        <f t="shared" si="0"/>
        <v>Bude čelo s úchytovým profilom ?</v>
      </c>
      <c r="D20" t="s">
        <v>24</v>
      </c>
      <c r="E20" t="s">
        <v>843</v>
      </c>
      <c r="F20" t="s">
        <v>743</v>
      </c>
      <c r="G20" t="s">
        <v>797</v>
      </c>
    </row>
    <row r="21" spans="3:7" x14ac:dyDescent="0.25">
      <c r="C21" t="str">
        <f t="shared" si="0"/>
        <v>Výška úchytového profilu v mm (J)</v>
      </c>
      <c r="D21" t="s">
        <v>26</v>
      </c>
      <c r="E21" t="s">
        <v>26</v>
      </c>
      <c r="F21" t="s">
        <v>744</v>
      </c>
      <c r="G21" t="s">
        <v>798</v>
      </c>
    </row>
    <row r="22" spans="3:7" x14ac:dyDescent="0.25">
      <c r="C22" t="str">
        <f t="shared" si="0"/>
        <v>1. zásuvka</v>
      </c>
      <c r="D22" t="s">
        <v>29</v>
      </c>
      <c r="E22" t="s">
        <v>29</v>
      </c>
      <c r="F22" t="s">
        <v>745</v>
      </c>
      <c r="G22" t="s">
        <v>799</v>
      </c>
    </row>
    <row r="23" spans="3:7" x14ac:dyDescent="0.25">
      <c r="C23" t="str">
        <f t="shared" si="0"/>
        <v>2. zásuvka</v>
      </c>
      <c r="D23" t="s">
        <v>30</v>
      </c>
      <c r="E23" t="s">
        <v>30</v>
      </c>
      <c r="F23" t="s">
        <v>746</v>
      </c>
      <c r="G23" t="s">
        <v>800</v>
      </c>
    </row>
    <row r="24" spans="3:7" x14ac:dyDescent="0.25">
      <c r="C24" t="str">
        <f t="shared" si="0"/>
        <v>3. zásuvka</v>
      </c>
      <c r="D24" t="s">
        <v>31</v>
      </c>
      <c r="E24" t="s">
        <v>31</v>
      </c>
      <c r="F24" t="s">
        <v>747</v>
      </c>
      <c r="G24" t="s">
        <v>801</v>
      </c>
    </row>
    <row r="25" spans="3:7" x14ac:dyDescent="0.25">
      <c r="C25" t="str">
        <f t="shared" si="0"/>
        <v>4. zásuvka</v>
      </c>
      <c r="D25" t="s">
        <v>32</v>
      </c>
      <c r="E25" t="s">
        <v>32</v>
      </c>
      <c r="F25" t="s">
        <v>748</v>
      </c>
      <c r="G25" t="s">
        <v>802</v>
      </c>
    </row>
    <row r="26" spans="3:7" x14ac:dyDescent="0.25">
      <c r="C26" t="str">
        <f t="shared" si="0"/>
        <v>5. zásuvka</v>
      </c>
      <c r="D26" t="s">
        <v>33</v>
      </c>
      <c r="E26" t="s">
        <v>33</v>
      </c>
      <c r="F26" t="s">
        <v>749</v>
      </c>
      <c r="G26" t="s">
        <v>803</v>
      </c>
    </row>
    <row r="27" spans="3:7" x14ac:dyDescent="0.25">
      <c r="C27" t="str">
        <f t="shared" si="0"/>
        <v>Pozícia výsuvu</v>
      </c>
      <c r="D27" t="s">
        <v>28</v>
      </c>
      <c r="E27" t="s">
        <v>844</v>
      </c>
      <c r="F27" t="s">
        <v>750</v>
      </c>
      <c r="G27" t="s">
        <v>804</v>
      </c>
    </row>
    <row r="28" spans="3:7" x14ac:dyDescent="0.25">
      <c r="C28" t="str">
        <f t="shared" si="0"/>
        <v>Výška čela</v>
      </c>
      <c r="D28" t="s">
        <v>700</v>
      </c>
      <c r="E28" t="s">
        <v>845</v>
      </c>
      <c r="F28" s="42" t="s">
        <v>751</v>
      </c>
      <c r="G28" t="s">
        <v>805</v>
      </c>
    </row>
    <row r="29" spans="3:7" x14ac:dyDescent="0.25">
      <c r="C29" t="str">
        <f t="shared" si="0"/>
        <v>Rozmery korpusu v mm</v>
      </c>
      <c r="D29" t="s">
        <v>610</v>
      </c>
      <c r="E29" t="s">
        <v>846</v>
      </c>
      <c r="F29" t="s">
        <v>752</v>
      </c>
      <c r="G29" t="s">
        <v>806</v>
      </c>
    </row>
    <row r="30" spans="3:7" x14ac:dyDescent="0.25">
      <c r="C30" t="str">
        <f t="shared" si="0"/>
        <v>Vyberte farbu</v>
      </c>
      <c r="D30" t="s">
        <v>578</v>
      </c>
      <c r="E30" t="s">
        <v>579</v>
      </c>
      <c r="F30" t="s">
        <v>753</v>
      </c>
      <c r="G30" t="s">
        <v>807</v>
      </c>
    </row>
    <row r="31" spans="3:7" x14ac:dyDescent="0.25">
      <c r="C31" t="str">
        <f t="shared" si="0"/>
        <v>Biela</v>
      </c>
      <c r="D31" t="s">
        <v>575</v>
      </c>
      <c r="E31" t="s">
        <v>576</v>
      </c>
      <c r="F31" t="s">
        <v>754</v>
      </c>
      <c r="G31" t="s">
        <v>808</v>
      </c>
    </row>
    <row r="32" spans="3:7" x14ac:dyDescent="0.25">
      <c r="C32" t="str">
        <f t="shared" si="0"/>
        <v>Čierna</v>
      </c>
      <c r="D32" t="s">
        <v>574</v>
      </c>
      <c r="E32" t="s">
        <v>577</v>
      </c>
      <c r="F32" t="s">
        <v>755</v>
      </c>
      <c r="G32" t="s">
        <v>809</v>
      </c>
    </row>
    <row r="33" spans="3:8" x14ac:dyDescent="0.25">
      <c r="C33" t="str">
        <f t="shared" si="0"/>
        <v>Tmavo sivá</v>
      </c>
      <c r="D33" t="s">
        <v>583</v>
      </c>
      <c r="E33" t="s">
        <v>582</v>
      </c>
      <c r="F33" t="s">
        <v>756</v>
      </c>
      <c r="G33" t="s">
        <v>810</v>
      </c>
    </row>
    <row r="34" spans="3:8" x14ac:dyDescent="0.25">
      <c r="C34" t="str">
        <f t="shared" si="0"/>
        <v>Vyberte výšku bočnice</v>
      </c>
      <c r="D34" t="s">
        <v>580</v>
      </c>
      <c r="E34" t="s">
        <v>580</v>
      </c>
      <c r="F34" t="s">
        <v>757</v>
      </c>
      <c r="G34" t="s">
        <v>811</v>
      </c>
    </row>
    <row r="35" spans="3:8" x14ac:dyDescent="0.25">
      <c r="C35" t="str">
        <f t="shared" si="0"/>
        <v>variant zo sklom nie je možlivý</v>
      </c>
      <c r="D35" t="s">
        <v>608</v>
      </c>
      <c r="E35" t="s">
        <v>701</v>
      </c>
      <c r="F35" t="s">
        <v>758</v>
      </c>
      <c r="G35" t="s">
        <v>832</v>
      </c>
    </row>
    <row r="36" spans="3:8" x14ac:dyDescent="0.25">
      <c r="C36" t="str">
        <f t="shared" si="0"/>
        <v>Vŕtanie boku korpusu</v>
      </c>
      <c r="D36" t="s">
        <v>609</v>
      </c>
      <c r="E36" t="s">
        <v>847</v>
      </c>
      <c r="F36" t="s">
        <v>759</v>
      </c>
      <c r="G36" t="s">
        <v>812</v>
      </c>
    </row>
    <row r="37" spans="3:8" x14ac:dyDescent="0.25">
      <c r="C37" t="str">
        <f t="shared" si="0"/>
        <v>Vyplňujte vždy zdola</v>
      </c>
      <c r="D37" t="s">
        <v>611</v>
      </c>
      <c r="E37" t="s">
        <v>848</v>
      </c>
      <c r="F37" t="s">
        <v>760</v>
      </c>
      <c r="G37" t="s">
        <v>813</v>
      </c>
    </row>
    <row r="38" spans="3:8" x14ac:dyDescent="0.25">
      <c r="C38" t="str">
        <f t="shared" si="0"/>
        <v>Výška otvorov od dna korpusu</v>
      </c>
      <c r="D38" t="s">
        <v>612</v>
      </c>
      <c r="E38" t="s">
        <v>849</v>
      </c>
      <c r="F38" t="s">
        <v>761</v>
      </c>
      <c r="G38" t="s">
        <v>814</v>
      </c>
    </row>
    <row r="39" spans="3:8" x14ac:dyDescent="0.25">
      <c r="C39" t="str">
        <f t="shared" si="0"/>
        <v>Vždy používajte aktuálnu verziu formuláru, ktorý je dostupný na našich stránkach.</v>
      </c>
      <c r="D39" s="14" t="s">
        <v>614</v>
      </c>
      <c r="E39" t="s">
        <v>615</v>
      </c>
      <c r="F39" t="s">
        <v>616</v>
      </c>
      <c r="G39" t="s">
        <v>617</v>
      </c>
    </row>
    <row r="40" spans="3:8" x14ac:dyDescent="0.25">
      <c r="C40" t="str">
        <f t="shared" si="0"/>
        <v>Vyplňte prosím vaše kontaktné údaje:</v>
      </c>
      <c r="D40" s="14" t="s">
        <v>685</v>
      </c>
      <c r="E40" t="s">
        <v>647</v>
      </c>
      <c r="F40" t="s">
        <v>648</v>
      </c>
      <c r="G40" t="s">
        <v>649</v>
      </c>
    </row>
    <row r="41" spans="3:8" x14ac:dyDescent="0.25">
      <c r="C41" t="str">
        <f t="shared" si="0"/>
        <v>Zákazník</v>
      </c>
      <c r="D41" s="14" t="s">
        <v>618</v>
      </c>
      <c r="E41" t="s">
        <v>618</v>
      </c>
      <c r="F41" t="s">
        <v>619</v>
      </c>
      <c r="G41" t="s">
        <v>620</v>
      </c>
    </row>
    <row r="42" spans="3:8" x14ac:dyDescent="0.25">
      <c r="C42" t="str">
        <f t="shared" si="0"/>
        <v>Kontaktný tel.</v>
      </c>
      <c r="D42" s="14" t="s">
        <v>621</v>
      </c>
      <c r="E42" t="s">
        <v>622</v>
      </c>
      <c r="F42" t="s">
        <v>623</v>
      </c>
      <c r="G42" t="s">
        <v>624</v>
      </c>
    </row>
    <row r="43" spans="3:8" x14ac:dyDescent="0.25">
      <c r="C43" t="str">
        <f t="shared" si="0"/>
        <v>Kontaktný e -mail</v>
      </c>
      <c r="D43" s="14" t="s">
        <v>625</v>
      </c>
      <c r="E43" t="s">
        <v>626</v>
      </c>
      <c r="F43" t="s">
        <v>627</v>
      </c>
      <c r="G43" t="s">
        <v>628</v>
      </c>
    </row>
    <row r="44" spans="3:8" x14ac:dyDescent="0.25">
      <c r="C44" t="str">
        <f t="shared" si="0"/>
        <v>Adresa prevádzky</v>
      </c>
      <c r="D44" s="14" t="s">
        <v>629</v>
      </c>
      <c r="E44" t="s">
        <v>630</v>
      </c>
      <c r="F44" t="s">
        <v>631</v>
      </c>
      <c r="G44" t="s">
        <v>632</v>
      </c>
    </row>
    <row r="45" spans="3:8" x14ac:dyDescent="0.25">
      <c r="C45" t="str">
        <f t="shared" si="0"/>
        <v>IČ:</v>
      </c>
      <c r="D45" s="14" t="s">
        <v>633</v>
      </c>
      <c r="E45" t="s">
        <v>633</v>
      </c>
      <c r="F45" t="s">
        <v>634</v>
      </c>
      <c r="G45" t="s">
        <v>634</v>
      </c>
    </row>
    <row r="46" spans="3:8" x14ac:dyDescent="0.25">
      <c r="C46" t="str">
        <f t="shared" si="0"/>
        <v>Vaše zľava*</v>
      </c>
      <c r="D46" s="14" t="s">
        <v>635</v>
      </c>
      <c r="E46" t="s">
        <v>636</v>
      </c>
      <c r="F46" t="s">
        <v>637</v>
      </c>
      <c r="G46" t="s">
        <v>638</v>
      </c>
    </row>
    <row r="47" spans="3:8" x14ac:dyDescent="0.25">
      <c r="C47" t="str">
        <f t="shared" si="0"/>
        <v>Číslo objednávky</v>
      </c>
      <c r="D47" s="14" t="s">
        <v>639</v>
      </c>
      <c r="E47" t="s">
        <v>639</v>
      </c>
      <c r="F47" t="s">
        <v>640</v>
      </c>
      <c r="G47" t="s">
        <v>641</v>
      </c>
    </row>
    <row r="48" spans="3:8" x14ac:dyDescent="0.25">
      <c r="C48" t="str">
        <f t="shared" ref="C48:C76" si="1">IF($D$1=1,D:D,IF($D$1=2,E:E,IF($D$1=3,F:F,IF($D$1=4,G:G,IF($D$1=5,H:H)))))</f>
        <v>Verzia 1.00</v>
      </c>
      <c r="D48" t="str">
        <f>"Verze "&amp;C1</f>
        <v>Verze 1.00</v>
      </c>
      <c r="E48" t="s">
        <v>850</v>
      </c>
      <c r="F48" t="str">
        <f>"Wersja "&amp;C1</f>
        <v>Wersja 1.00</v>
      </c>
      <c r="G48" t="s">
        <v>815</v>
      </c>
      <c r="H48" t="str">
        <f>"Version "&amp;C1</f>
        <v>Version 1.00</v>
      </c>
    </row>
    <row r="49" spans="2:8" x14ac:dyDescent="0.25">
      <c r="C49" t="str">
        <f t="shared" si="1"/>
        <v>Ceny sú platné od 02.01.2025</v>
      </c>
      <c r="D49" t="s">
        <v>644</v>
      </c>
      <c r="E49" t="s">
        <v>643</v>
      </c>
      <c r="F49" t="s">
        <v>645</v>
      </c>
      <c r="G49" t="s">
        <v>646</v>
      </c>
    </row>
    <row r="50" spans="2:8" x14ac:dyDescent="0.25">
      <c r="C50" t="str">
        <f t="shared" si="1"/>
        <v>Tento formulár slúži ako pomôcka pri výpočte výšky čela, vŕtania výsuvov a čiel. V niektorých prípadoch nemusia byť výpočty presné a spoločnosť Démos Trade nezodpovedá za škody spôsobené týmto formulárom.</v>
      </c>
      <c r="D50" t="s">
        <v>650</v>
      </c>
      <c r="E50" t="s">
        <v>851</v>
      </c>
      <c r="F50" t="s">
        <v>762</v>
      </c>
      <c r="G50" t="s">
        <v>816</v>
      </c>
    </row>
    <row r="51" spans="2:8" x14ac:dyDescent="0.25">
      <c r="C51" t="str">
        <f t="shared" si="1"/>
        <v>Potvrdzujem, že som porozumel a súhlasím s uvedenými podmienkami a odporúčaniami.</v>
      </c>
      <c r="D51" s="7" t="s">
        <v>651</v>
      </c>
      <c r="E51" t="s">
        <v>652</v>
      </c>
      <c r="F51" t="s">
        <v>653</v>
      </c>
      <c r="G51" t="s">
        <v>654</v>
      </c>
    </row>
    <row r="52" spans="2:8" x14ac:dyDescent="0.25">
      <c r="C52" t="str">
        <f t="shared" si="1"/>
        <v>Späť</v>
      </c>
      <c r="D52" t="s">
        <v>663</v>
      </c>
      <c r="E52" t="s">
        <v>664</v>
      </c>
      <c r="F52" t="s">
        <v>665</v>
      </c>
      <c r="G52" t="s">
        <v>666</v>
      </c>
      <c r="H52" t="s">
        <v>667</v>
      </c>
    </row>
    <row r="53" spans="2:8" x14ac:dyDescent="0.25">
      <c r="C53" t="str">
        <f t="shared" si="1"/>
        <v>Uvedené ceny sú bez DPH!</v>
      </c>
      <c r="D53" s="14" t="s">
        <v>668</v>
      </c>
      <c r="E53" t="s">
        <v>669</v>
      </c>
      <c r="F53" t="s">
        <v>670</v>
      </c>
      <c r="G53" t="s">
        <v>671</v>
      </c>
      <c r="H53" t="s">
        <v>672</v>
      </c>
    </row>
    <row r="54" spans="2:8" x14ac:dyDescent="0.25">
      <c r="C54" t="str">
        <f t="shared" si="1"/>
        <v>Pri vyplňaní formulára postupujte vždy zhora nadol. Ak urobíte spätne zmenu, prekontrolujte či sú nasledovné položky správne.</v>
      </c>
      <c r="D54" s="14" t="s">
        <v>673</v>
      </c>
      <c r="E54" t="s">
        <v>674</v>
      </c>
      <c r="F54" t="s">
        <v>675</v>
      </c>
      <c r="G54" t="s">
        <v>676</v>
      </c>
      <c r="H54" t="s">
        <v>677</v>
      </c>
    </row>
    <row r="55" spans="2:8" x14ac:dyDescent="0.25">
      <c r="C55" t="str">
        <f t="shared" si="1"/>
        <v xml:space="preserve">Vyplnenú objednávku zašlite na adresu </v>
      </c>
      <c r="D55" s="14" t="s">
        <v>678</v>
      </c>
      <c r="E55" t="s">
        <v>679</v>
      </c>
      <c r="F55" t="s">
        <v>680</v>
      </c>
      <c r="G55" t="s">
        <v>681</v>
      </c>
    </row>
    <row r="56" spans="2:8" x14ac:dyDescent="0.25">
      <c r="C56" t="str">
        <f t="shared" si="1"/>
        <v>objednavky@demos-trade.com</v>
      </c>
      <c r="D56" s="17" t="s">
        <v>682</v>
      </c>
      <c r="E56" s="18" t="s">
        <v>682</v>
      </c>
      <c r="F56" t="s">
        <v>683</v>
      </c>
      <c r="G56" t="s">
        <v>684</v>
      </c>
    </row>
    <row r="57" spans="2:8" x14ac:dyDescent="0.25">
      <c r="C57" t="str">
        <f t="shared" si="1"/>
        <v>Konfigurátor pre výpočet čiel a vŕtania zásuviek StrongMax s 18 mm dnom</v>
      </c>
      <c r="D57" t="s">
        <v>642</v>
      </c>
      <c r="E57" t="s">
        <v>852</v>
      </c>
      <c r="F57" t="s">
        <v>763</v>
      </c>
      <c r="G57" t="s">
        <v>817</v>
      </c>
    </row>
    <row r="58" spans="2:8" x14ac:dyDescent="0.25">
      <c r="C58" t="str">
        <f t="shared" si="1"/>
        <v>Prírez chrbta:</v>
      </c>
      <c r="D58" t="s">
        <v>687</v>
      </c>
      <c r="E58" t="s">
        <v>853</v>
      </c>
      <c r="F58" t="s">
        <v>764</v>
      </c>
      <c r="G58" t="s">
        <v>818</v>
      </c>
    </row>
    <row r="59" spans="2:8" x14ac:dyDescent="0.25">
      <c r="C59" t="str">
        <f t="shared" si="1"/>
        <v>Prírez dna:</v>
      </c>
      <c r="D59" t="s">
        <v>688</v>
      </c>
      <c r="E59" t="s">
        <v>854</v>
      </c>
      <c r="F59" t="s">
        <v>765</v>
      </c>
      <c r="G59" t="s">
        <v>819</v>
      </c>
    </row>
    <row r="60" spans="2:8" x14ac:dyDescent="0.25">
      <c r="C60" t="str">
        <f t="shared" si="1"/>
        <v>(pre správny výpočet je potrebné zvoliť výšku bočnice v tabuľke vyššie)</v>
      </c>
      <c r="D60" t="s">
        <v>689</v>
      </c>
      <c r="E60" t="s">
        <v>855</v>
      </c>
      <c r="F60" t="s">
        <v>766</v>
      </c>
      <c r="G60" t="s">
        <v>820</v>
      </c>
    </row>
    <row r="61" spans="2:8" x14ac:dyDescent="0.25">
      <c r="C61" t="str">
        <f t="shared" si="1"/>
        <v>Vŕtanie čela prvej zásuvky</v>
      </c>
      <c r="D61" t="s">
        <v>690</v>
      </c>
      <c r="E61" t="s">
        <v>856</v>
      </c>
      <c r="F61" t="s">
        <v>767</v>
      </c>
      <c r="G61" t="s">
        <v>821</v>
      </c>
    </row>
    <row r="62" spans="2:8" x14ac:dyDescent="0.25">
      <c r="B62">
        <v>2</v>
      </c>
      <c r="C62" t="str">
        <f t="shared" si="1"/>
        <v>Vŕtanie čela druhej zásuvky</v>
      </c>
      <c r="D62" t="s">
        <v>691</v>
      </c>
      <c r="E62" t="s">
        <v>857</v>
      </c>
      <c r="F62" t="s">
        <v>768</v>
      </c>
      <c r="G62" t="s">
        <v>822</v>
      </c>
    </row>
    <row r="63" spans="2:8" x14ac:dyDescent="0.25">
      <c r="B63">
        <v>3</v>
      </c>
      <c r="C63" t="str">
        <f t="shared" si="1"/>
        <v>Vŕtanie čela tretej zásuvky</v>
      </c>
      <c r="D63" t="s">
        <v>692</v>
      </c>
      <c r="E63" t="s">
        <v>858</v>
      </c>
      <c r="F63" t="s">
        <v>769</v>
      </c>
      <c r="G63" t="s">
        <v>823</v>
      </c>
    </row>
    <row r="64" spans="2:8" x14ac:dyDescent="0.25">
      <c r="B64">
        <v>4</v>
      </c>
      <c r="C64" t="str">
        <f t="shared" si="1"/>
        <v>Vŕtanie čela štvrtej zásuvky</v>
      </c>
      <c r="D64" t="s">
        <v>693</v>
      </c>
      <c r="E64" t="s">
        <v>859</v>
      </c>
      <c r="F64" t="s">
        <v>770</v>
      </c>
      <c r="G64" t="s">
        <v>824</v>
      </c>
    </row>
    <row r="65" spans="2:8" x14ac:dyDescent="0.25">
      <c r="B65">
        <v>5</v>
      </c>
      <c r="C65" t="str">
        <f t="shared" si="1"/>
        <v>Vŕtanie čela piatej zásuvky</v>
      </c>
      <c r="D65" t="s">
        <v>694</v>
      </c>
      <c r="E65" t="s">
        <v>860</v>
      </c>
      <c r="F65" t="s">
        <v>771</v>
      </c>
      <c r="G65" t="s">
        <v>825</v>
      </c>
    </row>
    <row r="66" spans="2:8" x14ac:dyDescent="0.25">
      <c r="C66" t="str">
        <f t="shared" si="1"/>
        <v>Výška čela vrátane úchytového profilu</v>
      </c>
      <c r="D66" t="s">
        <v>697</v>
      </c>
      <c r="E66" t="s">
        <v>861</v>
      </c>
      <c r="F66" t="s">
        <v>772</v>
      </c>
      <c r="G66" t="s">
        <v>826</v>
      </c>
    </row>
    <row r="67" spans="2:8" x14ac:dyDescent="0.25">
      <c r="C67" t="str">
        <f t="shared" si="1"/>
        <v>áno</v>
      </c>
      <c r="D67" s="35" t="s">
        <v>25</v>
      </c>
      <c r="E67" s="16" t="s">
        <v>710</v>
      </c>
      <c r="F67" s="16" t="s">
        <v>703</v>
      </c>
      <c r="G67" s="16" t="s">
        <v>704</v>
      </c>
      <c r="H67" s="16" t="s">
        <v>706</v>
      </c>
    </row>
    <row r="68" spans="2:8" x14ac:dyDescent="0.25">
      <c r="C68" t="str">
        <f t="shared" si="1"/>
        <v>nie</v>
      </c>
      <c r="D68" s="35" t="s">
        <v>27</v>
      </c>
      <c r="E68" s="16" t="s">
        <v>702</v>
      </c>
      <c r="F68" s="16" t="s">
        <v>702</v>
      </c>
      <c r="G68" s="16" t="s">
        <v>705</v>
      </c>
      <c r="H68" s="16" t="s">
        <v>707</v>
      </c>
    </row>
    <row r="69" spans="2:8" x14ac:dyDescent="0.25">
      <c r="C69" t="str">
        <f t="shared" si="1"/>
        <v>Sklenená bočnica áno/nie</v>
      </c>
      <c r="D69" t="s">
        <v>586</v>
      </c>
      <c r="E69" t="s">
        <v>862</v>
      </c>
      <c r="F69" t="s">
        <v>773</v>
      </c>
      <c r="G69" t="s">
        <v>827</v>
      </c>
    </row>
    <row r="70" spans="2:8" x14ac:dyDescent="0.25">
      <c r="C70" t="str">
        <f t="shared" si="1"/>
        <v>Poznámka: vyplňujte zľava doprava</v>
      </c>
      <c r="D70" t="s">
        <v>708</v>
      </c>
      <c r="E70" t="s">
        <v>863</v>
      </c>
      <c r="F70" t="s">
        <v>774</v>
      </c>
      <c r="G70" t="s">
        <v>828</v>
      </c>
    </row>
    <row r="71" spans="2:8" x14ac:dyDescent="0.25">
      <c r="C71" t="str">
        <f t="shared" si="1"/>
        <v>Poznámka: ak vykonáte zmenu, vyplňte všetko znova, inak bude formulár pracovať s nesprávnymi údajmi</v>
      </c>
      <c r="D71" t="s">
        <v>709</v>
      </c>
      <c r="E71" t="s">
        <v>864</v>
      </c>
      <c r="F71" t="s">
        <v>775</v>
      </c>
      <c r="G71" t="s">
        <v>829</v>
      </c>
    </row>
    <row r="72" spans="2:8" x14ac:dyDescent="0.25">
      <c r="C72" t="str">
        <f t="shared" si="1"/>
        <v>Kód kompletu</v>
      </c>
      <c r="D72" t="s">
        <v>605</v>
      </c>
      <c r="E72" t="s">
        <v>605</v>
      </c>
      <c r="F72" t="s">
        <v>776</v>
      </c>
      <c r="G72" t="s">
        <v>830</v>
      </c>
    </row>
    <row r="73" spans="2:8" x14ac:dyDescent="0.25">
      <c r="C73" t="str">
        <f t="shared" si="1"/>
        <v>Názov kompletu</v>
      </c>
      <c r="D73" t="s">
        <v>606</v>
      </c>
      <c r="E73" t="s">
        <v>865</v>
      </c>
      <c r="F73" t="s">
        <v>777</v>
      </c>
      <c r="G73" t="s">
        <v>831</v>
      </c>
    </row>
    <row r="74" spans="2:8" x14ac:dyDescent="0.25">
      <c r="C74" t="str">
        <f t="shared" si="1"/>
        <v>Podmienky a odporúčania pre správne objednanie</v>
      </c>
      <c r="D74" s="7" t="s">
        <v>711</v>
      </c>
      <c r="E74" t="s">
        <v>712</v>
      </c>
      <c r="F74" t="s">
        <v>713</v>
      </c>
      <c r="G74" t="s">
        <v>714</v>
      </c>
      <c r="H74" s="16" t="s">
        <v>715</v>
      </c>
    </row>
    <row r="75" spans="2:8" x14ac:dyDescent="0.25">
      <c r="C75" t="str">
        <f t="shared" si="1"/>
        <v>Pre zjednodušenie práce …</v>
      </c>
      <c r="D75" t="s">
        <v>719</v>
      </c>
      <c r="E75" t="s">
        <v>720</v>
      </c>
      <c r="F75" t="s">
        <v>718</v>
      </c>
      <c r="G75" t="s">
        <v>717</v>
      </c>
      <c r="H75" t="s">
        <v>716</v>
      </c>
    </row>
    <row r="76" spans="2:8" x14ac:dyDescent="0.25">
      <c r="C76" t="str">
        <f t="shared" si="1"/>
        <v>Maximálna doporučná šírka zásuvky je 1,6 násobok dĺžky výsuvu</v>
      </c>
      <c r="D76" t="s">
        <v>778</v>
      </c>
      <c r="E76" t="s">
        <v>779</v>
      </c>
      <c r="F76" t="s">
        <v>780</v>
      </c>
      <c r="G76" t="s">
        <v>781</v>
      </c>
    </row>
  </sheetData>
  <phoneticPr fontId="2" type="noConversion"/>
  <hyperlinks>
    <hyperlink ref="E56" r:id="rId1" xr:uid="{8F2486C9-12C7-44E6-814A-E0906B3843DA}"/>
    <hyperlink ref="D56" r:id="rId2" xr:uid="{35F86764-3746-4675-A519-7CA3D66ADB2B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7C74-C69E-4F8E-87E7-70E3768D5121}">
  <sheetPr codeName="List5"/>
  <dimension ref="A1:AJ303"/>
  <sheetViews>
    <sheetView showGridLines="0" zoomScale="90" zoomScaleNormal="90" workbookViewId="0">
      <selection activeCell="M2" sqref="M2:N3"/>
    </sheetView>
  </sheetViews>
  <sheetFormatPr defaultColWidth="0" defaultRowHeight="15" zeroHeight="1" x14ac:dyDescent="0.25"/>
  <cols>
    <col min="1" max="1" width="10.7109375" customWidth="1"/>
    <col min="2" max="2" width="6.5703125" customWidth="1"/>
    <col min="3" max="3" width="8" customWidth="1"/>
    <col min="4" max="4" width="16.85546875" customWidth="1"/>
    <col min="5" max="5" width="11.85546875" customWidth="1"/>
    <col min="6" max="6" width="18.7109375" customWidth="1"/>
    <col min="7" max="7" width="24.7109375" customWidth="1"/>
    <col min="8" max="8" width="16.85546875" customWidth="1"/>
    <col min="9" max="9" width="42" customWidth="1"/>
    <col min="10" max="10" width="9.140625" customWidth="1"/>
    <col min="11" max="11" width="7.85546875" customWidth="1"/>
    <col min="12" max="12" width="16.85546875" customWidth="1"/>
    <col min="13" max="13" width="11.85546875" customWidth="1"/>
    <col min="14" max="14" width="18.7109375" customWidth="1"/>
    <col min="15" max="15" width="24.7109375" customWidth="1"/>
    <col min="16" max="16" width="16.85546875" customWidth="1"/>
    <col min="17" max="17" width="7.7109375" customWidth="1"/>
    <col min="18" max="18" width="15" hidden="1"/>
    <col min="19" max="19" width="15.5703125" hidden="1"/>
    <col min="20" max="20" width="13" hidden="1"/>
    <col min="21" max="24" width="9.140625" hidden="1"/>
    <col min="25" max="25" width="16.5703125" hidden="1"/>
    <col min="26" max="26" width="9.140625" hidden="1"/>
    <col min="27" max="27" width="17.5703125" hidden="1"/>
    <col min="28" max="28" width="13.140625" hidden="1"/>
    <col min="29" max="29" width="13.42578125" hidden="1"/>
    <col min="30" max="32" width="9.140625" hidden="1"/>
    <col min="33" max="33" width="16.85546875" hidden="1"/>
    <col min="34" max="16384" width="9.140625" hidden="1"/>
  </cols>
  <sheetData>
    <row r="1" spans="1:33" x14ac:dyDescent="0.25"/>
    <row r="2" spans="1:33" s="7" customFormat="1" ht="1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77" t="str">
        <f>Překlady!C7</f>
        <v>Úvod</v>
      </c>
      <c r="N2" s="77"/>
      <c r="O2"/>
      <c r="R2" s="30"/>
      <c r="S2" s="30"/>
      <c r="T2" s="30"/>
    </row>
    <row r="3" spans="1:33" s="7" customFormat="1" ht="10.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77"/>
      <c r="N3" s="77"/>
      <c r="O3"/>
      <c r="Q3" s="31"/>
      <c r="R3" s="30"/>
      <c r="S3" s="30"/>
      <c r="T3" s="30"/>
    </row>
    <row r="4" spans="1:33" x14ac:dyDescent="0.25">
      <c r="AG4" t="s">
        <v>584</v>
      </c>
    </row>
    <row r="5" spans="1:33" x14ac:dyDescent="0.25">
      <c r="I5" s="110" t="e" vm="1">
        <f>VLOOKUP(Překlady!D1,nákresy!A9:C15,3,0)</f>
        <v>#VALUE!</v>
      </c>
      <c r="J5" s="110"/>
      <c r="K5" s="110"/>
      <c r="V5" t="s">
        <v>597</v>
      </c>
      <c r="W5" t="s">
        <v>599</v>
      </c>
      <c r="X5" t="s">
        <v>601</v>
      </c>
      <c r="Y5" t="s">
        <v>603</v>
      </c>
      <c r="Z5" t="s">
        <v>686</v>
      </c>
      <c r="AA5" t="str">
        <f>Překlady!C31</f>
        <v>Biela</v>
      </c>
      <c r="AC5" t="s">
        <v>604</v>
      </c>
      <c r="AD5" t="s">
        <v>597</v>
      </c>
      <c r="AG5" t="str">
        <f>Překlady!C67</f>
        <v>áno</v>
      </c>
    </row>
    <row r="6" spans="1:33" x14ac:dyDescent="0.25">
      <c r="I6" s="110"/>
      <c r="J6" s="110"/>
      <c r="K6" s="110"/>
      <c r="V6">
        <v>89</v>
      </c>
      <c r="W6">
        <v>89</v>
      </c>
      <c r="X6">
        <v>89</v>
      </c>
      <c r="Y6">
        <v>89</v>
      </c>
      <c r="Z6">
        <v>59</v>
      </c>
      <c r="AA6" t="str">
        <f>Překlady!C32</f>
        <v>Čierna</v>
      </c>
      <c r="AC6" t="s">
        <v>598</v>
      </c>
      <c r="AD6" t="s">
        <v>599</v>
      </c>
      <c r="AG6" t="str">
        <f>Překlady!C68</f>
        <v>nie</v>
      </c>
    </row>
    <row r="7" spans="1:33" x14ac:dyDescent="0.25">
      <c r="I7" s="110"/>
      <c r="J7" s="110"/>
      <c r="K7" s="110"/>
      <c r="W7">
        <v>121</v>
      </c>
      <c r="X7">
        <v>121</v>
      </c>
      <c r="Y7">
        <v>121</v>
      </c>
      <c r="Z7">
        <v>91</v>
      </c>
      <c r="AA7" t="str">
        <f>Překlady!C33</f>
        <v>Tmavo sivá</v>
      </c>
      <c r="AC7" t="s">
        <v>600</v>
      </c>
      <c r="AD7" t="s">
        <v>601</v>
      </c>
      <c r="AG7" t="str">
        <f>Překlady!C35</f>
        <v>variant zo sklom nie je možlivý</v>
      </c>
    </row>
    <row r="8" spans="1:33" x14ac:dyDescent="0.25">
      <c r="B8" s="68" t="str">
        <f>Překlady!C29</f>
        <v>Rozmery korpusu v mm</v>
      </c>
      <c r="C8" s="68"/>
      <c r="D8" s="68"/>
      <c r="E8" s="68"/>
      <c r="F8" s="68"/>
      <c r="G8" s="68"/>
      <c r="H8" s="1"/>
      <c r="I8" s="110"/>
      <c r="J8" s="110"/>
      <c r="K8" s="110"/>
      <c r="M8" s="24"/>
      <c r="X8">
        <v>185</v>
      </c>
      <c r="Y8">
        <v>185</v>
      </c>
      <c r="Z8">
        <v>155</v>
      </c>
      <c r="AC8" t="s">
        <v>602</v>
      </c>
      <c r="AD8" t="s">
        <v>603</v>
      </c>
    </row>
    <row r="9" spans="1:33" x14ac:dyDescent="0.25">
      <c r="B9" s="103" t="str">
        <f>Překlady!C9</f>
        <v>Výška korpusu (A)</v>
      </c>
      <c r="C9" s="104"/>
      <c r="D9" s="104"/>
      <c r="E9" s="104"/>
      <c r="F9" s="105"/>
      <c r="G9" s="69"/>
      <c r="H9" s="1"/>
      <c r="I9" s="110"/>
      <c r="J9" s="110"/>
      <c r="K9" s="110"/>
      <c r="M9" s="2"/>
      <c r="Y9">
        <v>249</v>
      </c>
      <c r="Z9">
        <v>219</v>
      </c>
    </row>
    <row r="10" spans="1:33" x14ac:dyDescent="0.25">
      <c r="B10" s="103" t="str">
        <f>Překlady!C10</f>
        <v>Šírka korpusu (B)</v>
      </c>
      <c r="C10" s="104"/>
      <c r="D10" s="104"/>
      <c r="E10" s="104"/>
      <c r="F10" s="105"/>
      <c r="G10" s="69"/>
      <c r="H10" s="1"/>
      <c r="I10" s="110"/>
      <c r="J10" s="110"/>
      <c r="K10" s="110"/>
      <c r="M10" s="24"/>
    </row>
    <row r="11" spans="1:33" x14ac:dyDescent="0.25">
      <c r="B11" s="112" t="str">
        <f>Překlady!C76</f>
        <v>Maximálna doporučná šírka zásuvky je 1,6 násobok dĺžky výsuvu</v>
      </c>
      <c r="C11" s="113"/>
      <c r="D11" s="113"/>
      <c r="E11" s="113"/>
      <c r="F11" s="113"/>
      <c r="G11" s="114"/>
      <c r="H11" s="1"/>
      <c r="I11" s="110"/>
      <c r="J11" s="110"/>
      <c r="K11" s="110"/>
      <c r="M11" s="24"/>
    </row>
    <row r="12" spans="1:33" x14ac:dyDescent="0.25">
      <c r="B12" s="103" t="str">
        <f>Překlady!C11</f>
        <v>Hrúbka dna a stropu (C)</v>
      </c>
      <c r="C12" s="104"/>
      <c r="D12" s="104"/>
      <c r="E12" s="104"/>
      <c r="F12" s="105"/>
      <c r="G12" s="69"/>
      <c r="H12" s="1"/>
      <c r="I12" s="110"/>
      <c r="J12" s="110"/>
      <c r="K12" s="110"/>
      <c r="M12" s="24"/>
    </row>
    <row r="13" spans="1:33" x14ac:dyDescent="0.25">
      <c r="B13" s="103" t="str">
        <f>Překlady!C12</f>
        <v>Hrúbka bokov (D)</v>
      </c>
      <c r="C13" s="104"/>
      <c r="D13" s="104"/>
      <c r="E13" s="104"/>
      <c r="F13" s="105"/>
      <c r="G13" s="69"/>
      <c r="H13" s="1"/>
      <c r="I13" s="110"/>
      <c r="J13" s="110"/>
      <c r="K13" s="110"/>
    </row>
    <row r="14" spans="1:33" x14ac:dyDescent="0.25">
      <c r="B14" s="103" t="str">
        <f>Překlady!C13</f>
        <v>Medzera hore (E)</v>
      </c>
      <c r="C14" s="104"/>
      <c r="D14" s="104"/>
      <c r="E14" s="104"/>
      <c r="F14" s="105"/>
      <c r="G14" s="70"/>
      <c r="H14" s="1"/>
      <c r="I14" s="110"/>
      <c r="J14" s="110"/>
      <c r="K14" s="110"/>
    </row>
    <row r="15" spans="1:33" x14ac:dyDescent="0.25">
      <c r="B15" s="103" t="str">
        <f>Překlady!C14</f>
        <v>Medzera medzi čelami (F)</v>
      </c>
      <c r="C15" s="104"/>
      <c r="D15" s="104"/>
      <c r="E15" s="104"/>
      <c r="F15" s="105"/>
      <c r="G15" s="70"/>
      <c r="H15" s="43"/>
      <c r="I15" s="110"/>
      <c r="J15" s="110"/>
      <c r="K15" s="110"/>
    </row>
    <row r="16" spans="1:33" x14ac:dyDescent="0.25">
      <c r="B16" s="103" t="str">
        <f>Překlady!C15</f>
        <v>Medzera dole (G)</v>
      </c>
      <c r="C16" s="104"/>
      <c r="D16" s="104"/>
      <c r="E16" s="104"/>
      <c r="F16" s="105"/>
      <c r="G16" s="70"/>
      <c r="H16" s="43"/>
      <c r="I16" s="110"/>
      <c r="J16" s="110"/>
      <c r="K16" s="110"/>
    </row>
    <row r="17" spans="1:36" x14ac:dyDescent="0.25">
      <c r="B17" s="103" t="str">
        <f>Překlady!C16</f>
        <v>Medzera na stranách (H)</v>
      </c>
      <c r="C17" s="104"/>
      <c r="D17" s="104"/>
      <c r="E17" s="104"/>
      <c r="F17" s="105"/>
      <c r="G17" s="70"/>
      <c r="H17" s="43"/>
      <c r="I17" s="110"/>
      <c r="J17" s="110"/>
      <c r="K17" s="110"/>
    </row>
    <row r="18" spans="1:36" x14ac:dyDescent="0.25">
      <c r="B18" s="103" t="str">
        <f>Překlady!C17</f>
        <v>Dĺžka výsuvov (I)</v>
      </c>
      <c r="C18" s="104"/>
      <c r="D18" s="104"/>
      <c r="E18" s="104"/>
      <c r="F18" s="105"/>
      <c r="G18" s="69"/>
      <c r="H18" s="43"/>
      <c r="I18" s="110"/>
      <c r="J18" s="110"/>
      <c r="K18" s="110"/>
    </row>
    <row r="19" spans="1:36" x14ac:dyDescent="0.25">
      <c r="B19" s="103" t="str">
        <f>Překlady!C18</f>
        <v>Počet zásuviek</v>
      </c>
      <c r="C19" s="104"/>
      <c r="D19" s="104"/>
      <c r="E19" s="104"/>
      <c r="F19" s="105"/>
      <c r="G19" s="69"/>
      <c r="H19" s="1"/>
      <c r="I19" s="110"/>
      <c r="J19" s="110"/>
      <c r="K19" s="110"/>
    </row>
    <row r="20" spans="1:36" x14ac:dyDescent="0.25">
      <c r="B20" s="103" t="str">
        <f>Překlady!C20</f>
        <v>Bude čelo s úchytovým profilom ?</v>
      </c>
      <c r="C20" s="104"/>
      <c r="D20" s="104"/>
      <c r="E20" s="104"/>
      <c r="F20" s="105"/>
      <c r="G20" s="69"/>
      <c r="H20" s="1"/>
      <c r="I20" s="110"/>
      <c r="J20" s="110"/>
      <c r="K20" s="110"/>
    </row>
    <row r="21" spans="1:36" x14ac:dyDescent="0.25">
      <c r="B21" s="103">
        <f>IF(G20=AG5,Překlady!C21,0)</f>
        <v>0</v>
      </c>
      <c r="C21" s="104"/>
      <c r="D21" s="104"/>
      <c r="E21" s="104"/>
      <c r="F21" s="105"/>
      <c r="G21" s="69"/>
      <c r="H21" s="1"/>
      <c r="I21" s="110"/>
      <c r="J21" s="110"/>
      <c r="K21" s="110"/>
    </row>
    <row r="22" spans="1:36" x14ac:dyDescent="0.25">
      <c r="B22" s="103" t="str">
        <f>Překlady!C19</f>
        <v>Dopočet výšky čiel</v>
      </c>
      <c r="C22" s="104"/>
      <c r="D22" s="104"/>
      <c r="E22" s="104"/>
      <c r="F22" s="105"/>
      <c r="G22" s="71">
        <f>(IF($G19&gt;0,G9-AG26,0))-D31-D30-D29-D28-D27</f>
        <v>0</v>
      </c>
      <c r="H22" s="1"/>
      <c r="I22" s="110"/>
      <c r="J22" s="110"/>
      <c r="K22" s="110"/>
    </row>
    <row r="23" spans="1:36" x14ac:dyDescent="0.25">
      <c r="I23" s="110"/>
      <c r="J23" s="110"/>
      <c r="K23" s="110"/>
    </row>
    <row r="24" spans="1:36" x14ac:dyDescent="0.25"/>
    <row r="25" spans="1:36" ht="15" customHeight="1" x14ac:dyDescent="0.25">
      <c r="B25" s="107" t="str">
        <f>Překlady!C27</f>
        <v>Pozícia výsuvu</v>
      </c>
      <c r="C25" s="107"/>
      <c r="D25" s="107" t="str">
        <f>IF(G20=AG5,Překlady!C66,Překlady!C28)</f>
        <v>Výška čela</v>
      </c>
      <c r="E25" s="107" t="str">
        <f>Překlady!C30</f>
        <v>Vyberte farbu</v>
      </c>
      <c r="F25" s="107" t="str">
        <f>Překlady!C34</f>
        <v>Vyberte výšku bočnice</v>
      </c>
      <c r="G25" s="107" t="str">
        <f>Překlady!C69</f>
        <v>Sklenená bočnica áno/nie</v>
      </c>
      <c r="H25" s="109" t="str">
        <f>Překlady!C72</f>
        <v>Kód kompletu</v>
      </c>
      <c r="I25" s="109" t="str">
        <f>Překlady!C73</f>
        <v>Názov kompletu</v>
      </c>
      <c r="J25" s="109"/>
      <c r="K25" s="109"/>
    </row>
    <row r="26" spans="1:36" x14ac:dyDescent="0.25">
      <c r="B26" s="107"/>
      <c r="C26" s="107"/>
      <c r="D26" s="107"/>
      <c r="E26" s="107"/>
      <c r="F26" s="107"/>
      <c r="G26" s="107"/>
      <c r="H26" s="109"/>
      <c r="I26" s="109"/>
      <c r="J26" s="109"/>
      <c r="K26" s="109"/>
      <c r="Z26" t="s">
        <v>590</v>
      </c>
      <c r="AG26">
        <f>SUM($AG$27:$AG$31)</f>
        <v>0</v>
      </c>
    </row>
    <row r="27" spans="1:36" x14ac:dyDescent="0.25">
      <c r="A27" s="102" t="str">
        <f>Překlady!C37</f>
        <v>Vyplňujte vždy zdola</v>
      </c>
      <c r="B27" s="106" t="str">
        <f>IF(AND($G$19&gt;4,$G$19&lt;6),Překlady!C26,"")</f>
        <v/>
      </c>
      <c r="C27" s="106"/>
      <c r="D27" s="72"/>
      <c r="E27" s="95"/>
      <c r="F27" s="73"/>
      <c r="G27" s="74"/>
      <c r="H27" s="75" t="str">
        <f>IFERROR(VLOOKUP(AJ27,Karty!$O:$P,2,0),"")</f>
        <v/>
      </c>
      <c r="I27" s="108" t="str">
        <f>IFERROR(VLOOKUP(AJ27,Karty!$O:$Q,3,0),"")</f>
        <v/>
      </c>
      <c r="J27" s="108"/>
      <c r="K27" s="108"/>
      <c r="V27" t="str">
        <f>_xlfn.CONCAT(E27,"_","sklo_ano",F27)</f>
        <v>_sklo_ano</v>
      </c>
      <c r="W27">
        <f>COUNTIF(Karty!$O$3:$P$98,V27)</f>
        <v>0</v>
      </c>
      <c r="Y27" t="e">
        <f>VLOOKUP(G19,AB35:AG39,6,0)</f>
        <v>#N/A</v>
      </c>
      <c r="Z27" t="e">
        <f>VLOOKUP(Y27,$Y$34:$Z$39,2,0)</f>
        <v>#N/A</v>
      </c>
      <c r="AA27" t="e">
        <f>IF(Z27&gt;272,"89/121/185/249",IF(Z27&gt;206,"89/121/185",IF(Z27&gt;144,"89/121", IF(Z27&gt;112,"89", "nelze"))))</f>
        <v>#N/A</v>
      </c>
      <c r="AB27" t="e">
        <f>VLOOKUP(AA27,$AC$5:$AD$8,2,0)</f>
        <v>#N/A</v>
      </c>
      <c r="AD27" t="s">
        <v>34</v>
      </c>
      <c r="AG27">
        <f>IF(G19=5,(G14+(4*G15)+G16),0)</f>
        <v>0</v>
      </c>
      <c r="AI27" t="str">
        <f t="shared" ref="AI27:AI30" si="0">IF(G27=$AG$5,"ano",IF(G27=$AG$6,"ne",IF(G27=$AG$7,"ne","")))</f>
        <v/>
      </c>
      <c r="AJ27" t="str">
        <f t="shared" ref="AJ27" si="1">_xlfn.CONCAT(E27,"_","sklo_",AI27,"_",F27,"_",$G$18)</f>
        <v>_sklo___</v>
      </c>
    </row>
    <row r="28" spans="1:36" x14ac:dyDescent="0.25">
      <c r="A28" s="102"/>
      <c r="B28" s="106" t="str">
        <f>IF(AND($G$19&gt;3,$G$19&lt;6),Překlady!C25,"")</f>
        <v/>
      </c>
      <c r="C28" s="106"/>
      <c r="D28" s="72"/>
      <c r="E28" s="96"/>
      <c r="F28" s="73"/>
      <c r="G28" s="74"/>
      <c r="H28" s="75" t="str">
        <f>IFERROR(VLOOKUP(AJ28,Karty!$O:$P,2,0),"")</f>
        <v/>
      </c>
      <c r="I28" s="108" t="str">
        <f>IFERROR(VLOOKUP(AJ28,Karty!$O:$Q,3,0),"")</f>
        <v/>
      </c>
      <c r="J28" s="108"/>
      <c r="K28" s="108"/>
      <c r="V28" s="27" t="str">
        <f>_xlfn.CONCAT(E27,"_","sklo_ano_",F28,"_",$G$18)</f>
        <v>_sklo_ano__</v>
      </c>
      <c r="W28">
        <f>COUNTIF(Karty!$O$3:$P$98,V28)</f>
        <v>0</v>
      </c>
      <c r="Y28" t="e">
        <f>VLOOKUP(G19,AB35:AG39,5,0)</f>
        <v>#N/A</v>
      </c>
      <c r="Z28" t="e">
        <f>VLOOKUP(Y28,$Y$34:$Z$39,2,0)</f>
        <v>#N/A</v>
      </c>
      <c r="AA28" t="e">
        <f>IF(Z28&gt;272,"89/121/185/249",IF(Z28&gt;206,"89/121/185",IF(Z28&gt;144,"89/121", IF(Z28&gt;112,"89", "nelze"))))</f>
        <v>#N/A</v>
      </c>
      <c r="AB28" t="e">
        <f>VLOOKUP(AA28,$AC$5:$AD$8,2,0)</f>
        <v>#N/A</v>
      </c>
      <c r="AD28" t="s">
        <v>34</v>
      </c>
      <c r="AG28">
        <f>IF(G19=4,(G14+(3*G15)+G16),0)</f>
        <v>0</v>
      </c>
      <c r="AI28" t="str">
        <f t="shared" si="0"/>
        <v/>
      </c>
      <c r="AJ28" t="str">
        <f>_xlfn.CONCAT(E27,"_","sklo_",AI28,"_",F28,"_",$G$18)</f>
        <v>_sklo___</v>
      </c>
    </row>
    <row r="29" spans="1:36" x14ac:dyDescent="0.25">
      <c r="A29" s="102"/>
      <c r="B29" s="106" t="str">
        <f>IF(AND($G$19&gt;2,$G$19&lt;6),Překlady!C24,"")</f>
        <v/>
      </c>
      <c r="C29" s="106"/>
      <c r="D29" s="72"/>
      <c r="E29" s="96"/>
      <c r="F29" s="73"/>
      <c r="G29" s="74"/>
      <c r="H29" s="75" t="str">
        <f>IFERROR(VLOOKUP(AJ29,Karty!$O:$P,2,0),"")</f>
        <v/>
      </c>
      <c r="I29" s="108" t="str">
        <f>IFERROR(VLOOKUP(AJ29,Karty!$O:$Q,3,0),"")</f>
        <v/>
      </c>
      <c r="J29" s="108"/>
      <c r="K29" s="108"/>
      <c r="V29" s="27" t="str">
        <f>_xlfn.CONCAT(E27,"_","sklo_ano_",F29,"_",$G$18)</f>
        <v>_sklo_ano__</v>
      </c>
      <c r="W29">
        <f>COUNTIF(Karty!$O$3:$P$98,V29)</f>
        <v>0</v>
      </c>
      <c r="Y29" t="e">
        <f>VLOOKUP(G19,AB35:AG39,4,0)</f>
        <v>#N/A</v>
      </c>
      <c r="Z29" t="e">
        <f>VLOOKUP(Y29,$Y$34:$Z$39,2,0)</f>
        <v>#N/A</v>
      </c>
      <c r="AA29" t="e">
        <f>IF(Z29&gt;272,"89/121/185/249",IF(Z29&gt;206,"89/121/185",IF(Z29&gt;144,"89/121", IF(Z29&gt;112,"89", "nelze"))))</f>
        <v>#N/A</v>
      </c>
      <c r="AB29" t="e">
        <f>VLOOKUP(AA29,$AC$5:$AD$8,2,0)</f>
        <v>#N/A</v>
      </c>
      <c r="AD29" t="s">
        <v>34</v>
      </c>
      <c r="AG29">
        <f>IF(G19=3,(G14+(2*G15)+G16),0)</f>
        <v>0</v>
      </c>
      <c r="AI29" t="str">
        <f t="shared" si="0"/>
        <v/>
      </c>
      <c r="AJ29" t="str">
        <f>_xlfn.CONCAT(E27,"_","sklo_",AI29,"_",F29,"_",$G$18)</f>
        <v>_sklo___</v>
      </c>
    </row>
    <row r="30" spans="1:36" x14ac:dyDescent="0.25">
      <c r="A30" s="102"/>
      <c r="B30" s="106" t="str">
        <f>IF(AND($G$19&gt;1,$G$19&lt;6),Překlady!C23,"")</f>
        <v/>
      </c>
      <c r="C30" s="106"/>
      <c r="D30" s="72"/>
      <c r="E30" s="96"/>
      <c r="F30" s="73"/>
      <c r="G30" s="74"/>
      <c r="H30" s="75" t="str">
        <f>IFERROR(VLOOKUP(AJ30,Karty!$O:$P,2,0),"")</f>
        <v/>
      </c>
      <c r="I30" s="108" t="str">
        <f>IFERROR(VLOOKUP(AJ30,Karty!$O:$Q,3,0),"")</f>
        <v/>
      </c>
      <c r="J30" s="108"/>
      <c r="K30" s="108"/>
      <c r="V30" s="27" t="str">
        <f>_xlfn.CONCAT(E27,"_","sklo_ano_",F30,"_",$G$18)</f>
        <v>_sklo_ano__</v>
      </c>
      <c r="W30">
        <f>COUNTIF(Karty!$O$3:$P$98,V30)</f>
        <v>0</v>
      </c>
      <c r="Y30" t="e">
        <f>VLOOKUP(G19,AB35:AD39,3,0)</f>
        <v>#N/A</v>
      </c>
      <c r="Z30" t="e">
        <f>VLOOKUP(Y30,$Y$34:$Z$39,2,0)</f>
        <v>#N/A</v>
      </c>
      <c r="AA30" t="e">
        <f>IF(Z30&gt;272,"89/121/185/249",IF(Z30&gt;206,"89/121/185",IF(Z30&gt;144,"89/121", IF(Z30&gt;112,"89", "nelze"))))</f>
        <v>#N/A</v>
      </c>
      <c r="AB30" t="e">
        <f>VLOOKUP(AA30,$AC$5:$AD$8,2,0)</f>
        <v>#N/A</v>
      </c>
      <c r="AD30" t="s">
        <v>34</v>
      </c>
      <c r="AG30">
        <f>IF(G19=2,(G14+G15+G16),0)</f>
        <v>0</v>
      </c>
      <c r="AI30" t="str">
        <f t="shared" si="0"/>
        <v/>
      </c>
      <c r="AJ30" t="str">
        <f>_xlfn.CONCAT(E27,"_","sklo_",AI30,"_",F30,"_",$G$18)</f>
        <v>_sklo___</v>
      </c>
    </row>
    <row r="31" spans="1:36" x14ac:dyDescent="0.25">
      <c r="A31" s="102"/>
      <c r="B31" s="106" t="str">
        <f>IF(AND($G$19&gt;0,G19&lt;6),Překlady!C22,"")</f>
        <v/>
      </c>
      <c r="C31" s="106"/>
      <c r="D31" s="73"/>
      <c r="E31" s="97"/>
      <c r="F31" s="73"/>
      <c r="G31" s="74"/>
      <c r="H31" s="75" t="str">
        <f>IFERROR(VLOOKUP(AJ31,Karty!$O:$P,2,0),"")</f>
        <v/>
      </c>
      <c r="I31" s="108" t="str">
        <f>IFERROR(VLOOKUP(AJ31,Karty!$O:$Q,3,0),"")</f>
        <v/>
      </c>
      <c r="J31" s="108"/>
      <c r="K31" s="108"/>
      <c r="V31" s="27" t="str">
        <f>_xlfn.CONCAT(E27,"_","sklo_ano_",F31,"_",$G$18)</f>
        <v>_sklo_ano__</v>
      </c>
      <c r="W31">
        <f>COUNTIF(Karty!$O$3:$P$98,V31)</f>
        <v>0</v>
      </c>
      <c r="Y31" t="e">
        <f>VLOOKUP(G19,AB35:AC39,2,0)</f>
        <v>#N/A</v>
      </c>
      <c r="Z31" t="e">
        <f>VLOOKUP(Y31,$Y$34:$Z$39,2,0)</f>
        <v>#N/A</v>
      </c>
      <c r="AA31" t="e">
        <f>IF(Z31&gt;272,"89/121/185/249",IF(Z31&gt;206,"89/121/185",IF(Z31&gt;144,"89/121", IF(Z31&gt;112,"89", "nelze"))))</f>
        <v>#N/A</v>
      </c>
      <c r="AB31" t="e">
        <f>VLOOKUP(AA31,$AC$5:$AD$8,2,0)</f>
        <v>#N/A</v>
      </c>
      <c r="AD31" t="s">
        <v>34</v>
      </c>
      <c r="AG31">
        <f>IF(G19=1,(G14+G16),0)</f>
        <v>0</v>
      </c>
      <c r="AI31" t="str">
        <f>IF(G31=$AG$5,"ano",IF(G31=$AG$6,"ne",IF(G31=$AG$7,"ne","")))</f>
        <v/>
      </c>
      <c r="AJ31" t="str">
        <f>_xlfn.CONCAT(E27,"_","sklo_",AI31,"_",F31,"_",$G$18)</f>
        <v>_sklo___</v>
      </c>
    </row>
    <row r="32" spans="1:36" x14ac:dyDescent="0.25">
      <c r="D32" s="37"/>
      <c r="E32" s="37"/>
      <c r="F32" s="37"/>
      <c r="G32" s="37"/>
      <c r="H32" s="37"/>
      <c r="I32" s="37"/>
      <c r="J32" s="37"/>
      <c r="K32" s="37"/>
      <c r="AD32" t="s">
        <v>35</v>
      </c>
      <c r="AG32">
        <f>IF(G20="ano",G21, 0)</f>
        <v>0</v>
      </c>
    </row>
    <row r="33" spans="2:33" x14ac:dyDescent="0.25">
      <c r="B33" s="6" t="str">
        <f>Překlady!C70</f>
        <v>Poznámka: vyplňujte zľava doprava</v>
      </c>
    </row>
    <row r="34" spans="2:33" ht="15" customHeight="1" x14ac:dyDescent="0.25">
      <c r="B34" s="6" t="str">
        <f>Překlady!C71</f>
        <v>Poznámka: ak vykonáte zmenu, vyplňte všetko znova, inak bude formulár pracovať s nesprávnymi údajmi</v>
      </c>
      <c r="D34" s="2"/>
      <c r="Y34" t="s">
        <v>587</v>
      </c>
      <c r="Z34" s="2">
        <f>G9-G14-G16</f>
        <v>0</v>
      </c>
      <c r="AC34" t="s">
        <v>29</v>
      </c>
      <c r="AD34" t="s">
        <v>30</v>
      </c>
      <c r="AE34" t="s">
        <v>31</v>
      </c>
      <c r="AF34" t="s">
        <v>32</v>
      </c>
      <c r="AG34" t="s">
        <v>33</v>
      </c>
    </row>
    <row r="35" spans="2:33" ht="15" customHeight="1" x14ac:dyDescent="0.25">
      <c r="Y35" t="s">
        <v>588</v>
      </c>
      <c r="Z35" s="2">
        <f>D31-(G15/2)-(G12-G16)</f>
        <v>0</v>
      </c>
      <c r="AB35">
        <v>1</v>
      </c>
      <c r="AC35" t="s">
        <v>587</v>
      </c>
    </row>
    <row r="36" spans="2:33" ht="15" customHeight="1" x14ac:dyDescent="0.25">
      <c r="Y36" t="s">
        <v>591</v>
      </c>
      <c r="Z36" s="2">
        <f>D30</f>
        <v>0</v>
      </c>
      <c r="AB36">
        <v>2</v>
      </c>
      <c r="AC36" t="s">
        <v>588</v>
      </c>
      <c r="AD36" t="s">
        <v>589</v>
      </c>
    </row>
    <row r="37" spans="2:33" ht="18.75" customHeight="1" x14ac:dyDescent="0.25">
      <c r="B37" s="111" t="str">
        <f>Překlady!C52</f>
        <v>Späť</v>
      </c>
      <c r="C37" s="111"/>
      <c r="D37" s="111"/>
      <c r="Y37" t="s">
        <v>592</v>
      </c>
      <c r="Z37" s="2">
        <f>D29</f>
        <v>0</v>
      </c>
      <c r="AB37">
        <v>3</v>
      </c>
      <c r="AC37" t="s">
        <v>588</v>
      </c>
      <c r="AD37" t="s">
        <v>591</v>
      </c>
      <c r="AE37" t="s">
        <v>589</v>
      </c>
    </row>
    <row r="38" spans="2:33" ht="18.75" customHeight="1" x14ac:dyDescent="0.25">
      <c r="B38" s="111"/>
      <c r="C38" s="111"/>
      <c r="D38" s="111"/>
      <c r="Y38" t="s">
        <v>593</v>
      </c>
      <c r="Z38" s="2">
        <f>D28</f>
        <v>0</v>
      </c>
      <c r="AB38">
        <v>4</v>
      </c>
      <c r="AC38" t="s">
        <v>588</v>
      </c>
      <c r="AD38" t="s">
        <v>591</v>
      </c>
      <c r="AE38" t="s">
        <v>592</v>
      </c>
      <c r="AF38" t="s">
        <v>589</v>
      </c>
    </row>
    <row r="39" spans="2:33" x14ac:dyDescent="0.25">
      <c r="Y39" t="s">
        <v>589</v>
      </c>
      <c r="Z39" s="2">
        <f>Z40-(G12-G14)</f>
        <v>0</v>
      </c>
      <c r="AB39">
        <v>5</v>
      </c>
      <c r="AC39" t="s">
        <v>588</v>
      </c>
      <c r="AD39" t="s">
        <v>591</v>
      </c>
      <c r="AE39" t="s">
        <v>592</v>
      </c>
      <c r="AF39" t="s">
        <v>593</v>
      </c>
      <c r="AG39" t="s">
        <v>589</v>
      </c>
    </row>
    <row r="40" spans="2:33" x14ac:dyDescent="0.25">
      <c r="G40" s="24"/>
      <c r="Z40">
        <f>IF(G19=2,D30,(IF(G19=3,D29,(IF(G19=4,D28,D27)))))</f>
        <v>0</v>
      </c>
    </row>
    <row r="41" spans="2:33" x14ac:dyDescent="0.25"/>
    <row r="42" spans="2:33" x14ac:dyDescent="0.25"/>
    <row r="43" spans="2:33" x14ac:dyDescent="0.25"/>
    <row r="44" spans="2:33" ht="18.75" x14ac:dyDescent="0.3">
      <c r="B44" s="44"/>
      <c r="M44" s="9"/>
      <c r="N44" s="10"/>
      <c r="O44" s="10"/>
    </row>
    <row r="45" spans="2:33" ht="18.75" x14ac:dyDescent="0.3">
      <c r="B45" s="44"/>
      <c r="H45" s="7"/>
      <c r="M45" s="9"/>
      <c r="N45" s="10"/>
      <c r="O45" s="10"/>
    </row>
    <row r="46" spans="2:33" ht="18.75" x14ac:dyDescent="0.3">
      <c r="B46" s="44" t="str">
        <f>Překlady!C36</f>
        <v>Vŕtanie boku korpusu</v>
      </c>
      <c r="H46" s="7"/>
      <c r="M46" s="9"/>
      <c r="N46" s="2"/>
    </row>
    <row r="47" spans="2:33" x14ac:dyDescent="0.25">
      <c r="H47" s="7"/>
      <c r="M47" s="9"/>
      <c r="N47" s="2"/>
    </row>
    <row r="48" spans="2:33" ht="18.75" x14ac:dyDescent="0.3">
      <c r="B48" s="7"/>
      <c r="C48" s="7"/>
      <c r="D48" s="7"/>
      <c r="E48" s="7"/>
      <c r="F48" s="7"/>
      <c r="H48" s="23"/>
      <c r="M48" s="9"/>
      <c r="N48" s="2"/>
    </row>
    <row r="49" spans="1:19" ht="18.75" x14ac:dyDescent="0.3">
      <c r="A49" s="101" t="str">
        <f>Překlady!C38</f>
        <v>Výška otvorov od dna korpusu</v>
      </c>
      <c r="B49" s="7"/>
      <c r="C49" s="7"/>
      <c r="D49" s="7"/>
      <c r="E49" s="7"/>
      <c r="F49" s="7"/>
      <c r="H49" s="67" t="str">
        <f>Překlady!C59</f>
        <v>Prírez dna:</v>
      </c>
      <c r="M49" s="9"/>
      <c r="N49" s="2"/>
    </row>
    <row r="50" spans="1:19" ht="21.75" customHeight="1" x14ac:dyDescent="0.25">
      <c r="A50" s="101"/>
      <c r="B50" s="50" t="str">
        <f>IF(G19=5,D28-37-5+$G$15+5+37+B53,"")</f>
        <v/>
      </c>
      <c r="C50" s="7"/>
      <c r="D50" s="7"/>
      <c r="E50" s="7"/>
      <c r="F50" s="7"/>
      <c r="M50" s="9"/>
      <c r="N50" s="2"/>
    </row>
    <row r="51" spans="1:19" ht="18.75" x14ac:dyDescent="0.3">
      <c r="A51" s="101"/>
      <c r="B51" s="51"/>
      <c r="C51" s="7"/>
      <c r="D51" s="7"/>
      <c r="E51" s="7"/>
      <c r="F51" s="7"/>
      <c r="H51" s="23" t="str">
        <f>IF(G18&gt;0,(G10-(2*G13)-21&amp;" x "&amp;G18-20&amp;" mm"),"")</f>
        <v/>
      </c>
      <c r="M51" s="9"/>
    </row>
    <row r="52" spans="1:19" x14ac:dyDescent="0.25">
      <c r="A52" s="101"/>
      <c r="B52" s="51"/>
      <c r="C52" s="7"/>
      <c r="D52" s="7"/>
      <c r="E52" s="7"/>
      <c r="F52" s="7"/>
      <c r="H52" s="7"/>
      <c r="M52" s="9"/>
    </row>
    <row r="53" spans="1:19" ht="18.75" x14ac:dyDescent="0.3">
      <c r="A53" s="101"/>
      <c r="B53" s="52" t="str">
        <f>IF(G19&gt;3,D29-37-5+$G$15+5+37+B56,"")</f>
        <v/>
      </c>
      <c r="C53" s="7"/>
      <c r="D53" s="7"/>
      <c r="E53" s="7"/>
      <c r="F53" s="7"/>
      <c r="H53" s="23"/>
    </row>
    <row r="54" spans="1:19" ht="18.75" x14ac:dyDescent="0.3">
      <c r="A54" s="101"/>
      <c r="B54" s="51"/>
      <c r="C54" s="7"/>
      <c r="D54" s="7"/>
      <c r="E54" s="7"/>
      <c r="F54" s="7"/>
      <c r="H54" s="67" t="str">
        <f>Překlady!C58</f>
        <v>Prírez chrbta:</v>
      </c>
      <c r="I54" s="23"/>
    </row>
    <row r="55" spans="1:19" ht="18.75" x14ac:dyDescent="0.3">
      <c r="A55" s="101"/>
      <c r="B55" s="51"/>
      <c r="C55" s="7"/>
      <c r="D55" s="7"/>
      <c r="E55" s="7"/>
      <c r="F55" s="7"/>
      <c r="H55" s="23" t="str">
        <f>Překlady!C60</f>
        <v>(pre správny výpočet je potrebné zvoliť výšku bočnice v tabuľke vyššie)</v>
      </c>
      <c r="I55" s="23"/>
    </row>
    <row r="56" spans="1:19" ht="15.75" customHeight="1" x14ac:dyDescent="0.3">
      <c r="A56" s="101"/>
      <c r="B56" s="52" t="str">
        <f>IF(G19&gt;2,B59-37-5+D30+G15+5+37,"")</f>
        <v/>
      </c>
      <c r="C56" s="7"/>
      <c r="D56" s="7"/>
      <c r="E56" s="7"/>
      <c r="F56" s="7"/>
      <c r="H56" s="45"/>
      <c r="I56" s="23"/>
    </row>
    <row r="57" spans="1:19" ht="18.75" x14ac:dyDescent="0.25">
      <c r="A57" s="101"/>
      <c r="B57" s="51"/>
      <c r="C57" s="7"/>
      <c r="D57" s="7"/>
      <c r="E57" s="7"/>
      <c r="F57" s="7"/>
      <c r="H57" s="46" t="str">
        <f>IF(AND($G$19&gt;4, $G$19&lt;6),Překlady!C26, " ")</f>
        <v xml:space="preserve"> </v>
      </c>
      <c r="I57" s="47" t="str">
        <f>IF(AND($G$19&gt;4, G19&lt;6),G10-(2*G13)-42&amp;" x "&amp;VLOOKUP(F27,Y6:Z9,2,0)&amp;" mm","")</f>
        <v/>
      </c>
    </row>
    <row r="58" spans="1:19" ht="18.75" x14ac:dyDescent="0.3">
      <c r="A58" s="101"/>
      <c r="B58" s="51"/>
      <c r="C58" s="7"/>
      <c r="D58" s="7"/>
      <c r="E58" s="7"/>
      <c r="F58" s="7"/>
      <c r="H58" s="45" t="str">
        <f>IF(AND($G$19&gt;3, $G$19&lt;6),Překlady!C25, " ")</f>
        <v xml:space="preserve"> </v>
      </c>
      <c r="I58" s="23" t="str">
        <f>IF(AND($G$19&gt;3, G19&lt;6),G10-(2*G13)-42&amp;" x "&amp;VLOOKUP(F28,Y6:Z9,2,0)&amp;" mm","")</f>
        <v/>
      </c>
    </row>
    <row r="59" spans="1:19" ht="18" customHeight="1" x14ac:dyDescent="0.25">
      <c r="A59" s="101"/>
      <c r="B59" s="53" t="str">
        <f>IF(G19&gt;1,(D31-($G$12-$G$16))+G15+5+37,"")</f>
        <v/>
      </c>
      <c r="C59" s="7"/>
      <c r="D59" s="7"/>
      <c r="E59" s="7"/>
      <c r="F59" s="7"/>
      <c r="H59" s="48" t="str">
        <f>IF(AND($G$19&gt;2, $G$19&lt;6),Překlady!C24, " ")</f>
        <v xml:space="preserve"> </v>
      </c>
      <c r="I59" s="49" t="str">
        <f>IF(AND($G$19&gt;2, G19&lt;6),G10-(2*G13)-42&amp;" x "&amp;VLOOKUP(F29,Y6:Z9,2,0)&amp;" mm","")</f>
        <v/>
      </c>
    </row>
    <row r="60" spans="1:19" ht="18.75" x14ac:dyDescent="0.3">
      <c r="A60" s="101"/>
      <c r="B60" s="53"/>
      <c r="C60" s="7"/>
      <c r="D60" s="7"/>
      <c r="E60" s="7"/>
      <c r="F60" s="7"/>
      <c r="H60" s="45" t="str">
        <f>IF(AND($G$19&gt;1, $G$19&lt;6),Překlady!C23, " ")</f>
        <v xml:space="preserve"> </v>
      </c>
      <c r="I60" s="23" t="str">
        <f>IF(AND($G$19&gt;1, G19&lt;6),G10-(2*G13)-42&amp;" x "&amp;VLOOKUP(F30,Y6:Z9,2,0)&amp;" mm","")</f>
        <v/>
      </c>
    </row>
    <row r="61" spans="1:19" ht="18.75" x14ac:dyDescent="0.3">
      <c r="A61" s="101"/>
      <c r="B61" s="51"/>
      <c r="C61" s="7"/>
      <c r="D61" s="7"/>
      <c r="E61" s="7"/>
      <c r="F61" s="7"/>
      <c r="H61" s="45" t="str">
        <f>IF(AND($G$19&gt;0, G19&lt;6),Překlady!C22, " ")</f>
        <v xml:space="preserve"> </v>
      </c>
      <c r="I61" s="23" t="str">
        <f>IF(AND($G$19&gt;0, G19&lt;6),G10-(2*G13)-42&amp;" x "&amp;VLOOKUP(F31,Y6:Z9,2,0)&amp;" mm","")</f>
        <v/>
      </c>
    </row>
    <row r="62" spans="1:19" ht="8.25" customHeight="1" x14ac:dyDescent="0.3">
      <c r="A62" s="101"/>
      <c r="B62" s="51"/>
      <c r="C62" s="7"/>
      <c r="D62" s="7"/>
      <c r="E62" s="7"/>
      <c r="F62" s="7"/>
      <c r="H62" s="45"/>
      <c r="I62" s="23"/>
    </row>
    <row r="63" spans="1:19" ht="20.25" customHeight="1" x14ac:dyDescent="0.25">
      <c r="A63" s="101"/>
      <c r="B63" s="54" t="str">
        <f>IF(D31&gt;0,37,"")</f>
        <v/>
      </c>
      <c r="C63" s="7"/>
      <c r="D63" s="7"/>
      <c r="E63" s="7"/>
      <c r="F63" s="7"/>
      <c r="H63" s="7"/>
    </row>
    <row r="64" spans="1:19" ht="24" customHeight="1" x14ac:dyDescent="0.25">
      <c r="A64" s="101"/>
      <c r="B64" s="51">
        <v>0</v>
      </c>
      <c r="C64" s="7"/>
      <c r="D64" s="7"/>
      <c r="E64" s="7"/>
      <c r="F64" s="7"/>
      <c r="H64" s="7"/>
      <c r="S64" s="2"/>
    </row>
    <row r="65" spans="1:17" ht="18.75" customHeight="1" x14ac:dyDescent="0.25">
      <c r="C65" s="7"/>
      <c r="D65" s="7"/>
      <c r="E65" s="7"/>
      <c r="F65" s="7"/>
      <c r="H65" s="7"/>
    </row>
    <row r="66" spans="1:17" x14ac:dyDescent="0.25">
      <c r="B66" s="7"/>
      <c r="C66" s="7"/>
      <c r="D66" s="7"/>
      <c r="E66" s="7"/>
      <c r="F66" s="7"/>
    </row>
    <row r="67" spans="1:17" x14ac:dyDescent="0.25"/>
    <row r="68" spans="1:17" x14ac:dyDescent="0.25"/>
    <row r="69" spans="1:17" ht="18.75" customHeight="1" x14ac:dyDescent="0.25">
      <c r="C69" s="7"/>
      <c r="D69" s="7"/>
      <c r="E69" s="7"/>
      <c r="F69" s="7"/>
      <c r="G69" s="7"/>
    </row>
    <row r="70" spans="1:17" x14ac:dyDescent="0.25"/>
    <row r="71" spans="1:17" x14ac:dyDescent="0.25"/>
    <row r="72" spans="1:1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21" x14ac:dyDescent="0.35">
      <c r="A74" s="6"/>
      <c r="B74" s="44"/>
      <c r="C74" s="76" t="str">
        <f>IF(F31&gt;0,Překlady!C61,"")</f>
        <v/>
      </c>
      <c r="D74" s="6"/>
      <c r="E74" s="6"/>
      <c r="F74" s="6"/>
      <c r="G74" s="6"/>
      <c r="H74" s="6"/>
      <c r="I74" s="6"/>
      <c r="J74" s="44"/>
      <c r="K74" s="76" t="str">
        <f>IFERROR((IF(F31&gt;0,VLOOKUP(G19,Překlady!B62:C65,2,0),"")),"")</f>
        <v/>
      </c>
      <c r="L74" s="6"/>
      <c r="M74" s="6"/>
      <c r="N74" s="6"/>
      <c r="O74" s="6"/>
      <c r="P74" s="6"/>
      <c r="Q74" s="6"/>
    </row>
    <row r="75" spans="1:1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20.25" customHeight="1" x14ac:dyDescent="0.25">
      <c r="A76" s="6"/>
      <c r="B76" s="6"/>
      <c r="C76" s="94" t="str">
        <f>IF(F31&gt;0,VLOOKUP(F31,nákresy!B2:C5,2,0),"")</f>
        <v/>
      </c>
      <c r="D76" s="94"/>
      <c r="E76" s="94"/>
      <c r="F76" s="94"/>
      <c r="G76" s="94"/>
      <c r="H76" s="94"/>
      <c r="I76" s="6"/>
      <c r="J76" s="6"/>
      <c r="K76" s="94" t="str">
        <f>IFERROR((VLOOKUP(IF(G19=5,F27,IF(G19=4,F28,IF(G19=3,F29,IF(G19=2,F30,"")))),nákresy!B2:C5,2,0)),"")</f>
        <v/>
      </c>
      <c r="L76" s="94"/>
      <c r="M76" s="94"/>
      <c r="N76" s="94"/>
      <c r="O76" s="94"/>
      <c r="P76" s="94"/>
      <c r="Q76" s="6"/>
    </row>
    <row r="77" spans="1:17" ht="20.25" customHeight="1" x14ac:dyDescent="0.25">
      <c r="A77" s="6"/>
      <c r="B77" s="6"/>
      <c r="C77" s="94"/>
      <c r="D77" s="94"/>
      <c r="E77" s="94"/>
      <c r="F77" s="94"/>
      <c r="G77" s="94"/>
      <c r="H77" s="94"/>
      <c r="I77" s="6"/>
      <c r="J77" s="6"/>
      <c r="K77" s="94"/>
      <c r="L77" s="94"/>
      <c r="M77" s="94"/>
      <c r="N77" s="94"/>
      <c r="O77" s="94"/>
      <c r="P77" s="94"/>
      <c r="Q77" s="6"/>
    </row>
    <row r="78" spans="1:17" ht="20.25" customHeight="1" x14ac:dyDescent="0.25">
      <c r="A78" s="6"/>
      <c r="B78" s="6"/>
      <c r="C78" s="94"/>
      <c r="D78" s="94"/>
      <c r="E78" s="94"/>
      <c r="F78" s="94"/>
      <c r="G78" s="94"/>
      <c r="H78" s="94"/>
      <c r="I78" s="6"/>
      <c r="J78" s="61"/>
      <c r="K78" s="94"/>
      <c r="L78" s="94"/>
      <c r="M78" s="94"/>
      <c r="N78" s="94"/>
      <c r="O78" s="94"/>
      <c r="P78" s="94"/>
      <c r="Q78" s="6"/>
    </row>
    <row r="79" spans="1:17" ht="20.25" customHeight="1" x14ac:dyDescent="0.25">
      <c r="A79" s="6"/>
      <c r="B79" s="55"/>
      <c r="C79" s="94"/>
      <c r="D79" s="94"/>
      <c r="E79" s="94"/>
      <c r="F79" s="94"/>
      <c r="G79" s="94"/>
      <c r="H79" s="94"/>
      <c r="I79" s="6"/>
      <c r="J79" s="61"/>
      <c r="K79" s="94"/>
      <c r="L79" s="94"/>
      <c r="M79" s="94"/>
      <c r="N79" s="94"/>
      <c r="O79" s="94"/>
      <c r="P79" s="94"/>
      <c r="Q79" s="6"/>
    </row>
    <row r="80" spans="1:17" ht="20.25" customHeight="1" x14ac:dyDescent="0.25">
      <c r="A80" s="6"/>
      <c r="B80" s="55" t="str">
        <f>IF(F31=249,"32","")</f>
        <v/>
      </c>
      <c r="C80" s="94"/>
      <c r="D80" s="94"/>
      <c r="E80" s="94"/>
      <c r="F80" s="94"/>
      <c r="G80" s="94"/>
      <c r="H80" s="94"/>
      <c r="I80" s="6"/>
      <c r="J80" s="61" t="str">
        <f>IFERROR((IF(VLOOKUP(G19,S89:T92,2,0)=249,32,"")),"")</f>
        <v/>
      </c>
      <c r="K80" s="94"/>
      <c r="L80" s="94"/>
      <c r="M80" s="94"/>
      <c r="N80" s="94"/>
      <c r="O80" s="94"/>
      <c r="P80" s="94"/>
      <c r="Q80" s="6"/>
    </row>
    <row r="81" spans="1:20" ht="20.25" customHeight="1" x14ac:dyDescent="0.25">
      <c r="A81" s="6"/>
      <c r="B81" s="56"/>
      <c r="C81" s="94"/>
      <c r="D81" s="94"/>
      <c r="E81" s="94"/>
      <c r="F81" s="94"/>
      <c r="G81" s="94"/>
      <c r="H81" s="94"/>
      <c r="I81" s="6"/>
      <c r="J81" s="56"/>
      <c r="K81" s="94"/>
      <c r="L81" s="94"/>
      <c r="M81" s="94"/>
      <c r="N81" s="94"/>
      <c r="O81" s="94"/>
      <c r="P81" s="94"/>
      <c r="Q81" s="6"/>
    </row>
    <row r="82" spans="1:20" ht="20.25" customHeight="1" x14ac:dyDescent="0.25">
      <c r="A82" s="6"/>
      <c r="B82" s="55" t="str">
        <f>IF(OR(F31=185,F31=89),"32","")</f>
        <v/>
      </c>
      <c r="C82" s="94"/>
      <c r="D82" s="94"/>
      <c r="E82" s="94"/>
      <c r="F82" s="94"/>
      <c r="G82" s="94"/>
      <c r="H82" s="94"/>
      <c r="I82" s="6"/>
      <c r="J82" s="63" t="str">
        <f>IFERROR((IF(OR(VLOOKUP(G19,S89:T92,2,0)=89,VLOOKUP(G19,S89:T92,2,0)=249,VLOOKUP(G19,S89:T92,2,0)=185),32,"")),"")</f>
        <v/>
      </c>
      <c r="K82" s="94"/>
      <c r="L82" s="94"/>
      <c r="M82" s="94"/>
      <c r="N82" s="94"/>
      <c r="O82" s="94"/>
      <c r="P82" s="94"/>
      <c r="Q82" s="6"/>
    </row>
    <row r="83" spans="1:20" ht="20.25" customHeight="1" x14ac:dyDescent="0.25">
      <c r="A83" s="6"/>
      <c r="B83" s="57" t="str">
        <f>IF(F31=249,"32","")</f>
        <v/>
      </c>
      <c r="C83" s="94"/>
      <c r="D83" s="94"/>
      <c r="E83" s="94"/>
      <c r="F83" s="94"/>
      <c r="G83" s="94"/>
      <c r="H83" s="94"/>
      <c r="I83" s="6"/>
      <c r="J83" s="61"/>
      <c r="K83" s="94"/>
      <c r="L83" s="94"/>
      <c r="M83" s="94"/>
      <c r="N83" s="94"/>
      <c r="O83" s="94"/>
      <c r="P83" s="94"/>
      <c r="Q83" s="6"/>
    </row>
    <row r="84" spans="1:20" ht="20.25" customHeight="1" x14ac:dyDescent="0.25">
      <c r="A84" s="6"/>
      <c r="B84" s="58"/>
      <c r="C84" s="94"/>
      <c r="D84" s="94"/>
      <c r="E84" s="94"/>
      <c r="F84" s="94"/>
      <c r="G84" s="94"/>
      <c r="H84" s="94"/>
      <c r="I84" s="6"/>
      <c r="J84" s="57"/>
      <c r="K84" s="94"/>
      <c r="L84" s="94"/>
      <c r="M84" s="94"/>
      <c r="N84" s="94"/>
      <c r="O84" s="94"/>
      <c r="P84" s="94"/>
      <c r="Q84" s="6"/>
    </row>
    <row r="85" spans="1:20" ht="20.25" customHeight="1" x14ac:dyDescent="0.25">
      <c r="A85" s="6"/>
      <c r="B85" s="59" t="str">
        <f>IF(F31=249,"32","")</f>
        <v/>
      </c>
      <c r="C85" s="94"/>
      <c r="D85" s="94"/>
      <c r="E85" s="94"/>
      <c r="F85" s="94"/>
      <c r="G85" s="94"/>
      <c r="H85" s="94"/>
      <c r="I85" s="6"/>
      <c r="J85" s="61" t="str">
        <f>IFERROR((IF(VLOOKUP(G19,S89:T92,2,0)=249,32,"")),"")</f>
        <v/>
      </c>
      <c r="K85" s="94"/>
      <c r="L85" s="94"/>
      <c r="M85" s="94"/>
      <c r="N85" s="94"/>
      <c r="O85" s="94"/>
      <c r="P85" s="94"/>
      <c r="Q85" s="6"/>
    </row>
    <row r="86" spans="1:20" ht="20.25" customHeight="1" x14ac:dyDescent="0.25">
      <c r="A86" s="6"/>
      <c r="B86" s="60" t="str">
        <f>IF(F31=185,"64","")</f>
        <v/>
      </c>
      <c r="C86" s="94"/>
      <c r="D86" s="94"/>
      <c r="E86" s="94"/>
      <c r="F86" s="94"/>
      <c r="G86" s="94"/>
      <c r="H86" s="94"/>
      <c r="I86" s="64"/>
      <c r="J86" s="58" t="str">
        <f>IFERROR((IF(VLOOKUP(G19,S89:T92,2,0)=185,64,"")),"")</f>
        <v/>
      </c>
      <c r="K86" s="94"/>
      <c r="L86" s="94"/>
      <c r="M86" s="94"/>
      <c r="N86" s="94"/>
      <c r="O86" s="94"/>
      <c r="P86" s="94"/>
      <c r="Q86" s="115" t="str">
        <f>IF(F31&gt;0,IF(G19=5,D27-$G$21,IF(G19=4,D28-$G$21,IF(G19=3,D29-$G$21,IF(G19=2,D30-$G$21,"")))),"")</f>
        <v/>
      </c>
    </row>
    <row r="87" spans="1:20" ht="20.25" customHeight="1" x14ac:dyDescent="0.25">
      <c r="A87" s="6"/>
      <c r="B87" s="56" t="str">
        <f>IF(F31=121,"32","")</f>
        <v/>
      </c>
      <c r="C87" s="94"/>
      <c r="D87" s="94"/>
      <c r="E87" s="94"/>
      <c r="F87" s="94"/>
      <c r="G87" s="94"/>
      <c r="H87" s="94"/>
      <c r="I87" s="117" t="str">
        <f>IF(F31&gt;0,D31-$G$21,"")</f>
        <v/>
      </c>
      <c r="J87" s="61" t="str">
        <f>IFERROR((IF(VLOOKUP(G19,S89:T92,2,0)=121,32,"")),"")</f>
        <v/>
      </c>
      <c r="K87" s="94"/>
      <c r="L87" s="94"/>
      <c r="M87" s="94"/>
      <c r="N87" s="94"/>
      <c r="O87" s="94"/>
      <c r="P87" s="94"/>
      <c r="Q87" s="115"/>
    </row>
    <row r="88" spans="1:20" ht="20.25" customHeight="1" x14ac:dyDescent="0.25">
      <c r="A88" s="6"/>
      <c r="B88" s="98" t="str">
        <f>IF(F31=249,"64","")</f>
        <v/>
      </c>
      <c r="C88" s="94"/>
      <c r="D88" s="94"/>
      <c r="E88" s="94"/>
      <c r="F88" s="94"/>
      <c r="G88" s="94"/>
      <c r="H88" s="94"/>
      <c r="I88" s="117"/>
      <c r="J88" s="93" t="str">
        <f>IFERROR((IF(VLOOKUP(G19,S89:T92,2,0)=249,64,"")),"")</f>
        <v/>
      </c>
      <c r="K88" s="94"/>
      <c r="L88" s="94"/>
      <c r="M88" s="94"/>
      <c r="N88" s="94"/>
      <c r="O88" s="94"/>
      <c r="P88" s="94"/>
      <c r="Q88" s="6"/>
    </row>
    <row r="89" spans="1:20" ht="20.25" customHeight="1" x14ac:dyDescent="0.25">
      <c r="A89" s="6"/>
      <c r="B89" s="98"/>
      <c r="C89" s="94"/>
      <c r="D89" s="94"/>
      <c r="E89" s="94"/>
      <c r="F89" s="94"/>
      <c r="G89" s="94"/>
      <c r="H89" s="94"/>
      <c r="I89" s="6"/>
      <c r="J89" s="93"/>
      <c r="K89" s="94"/>
      <c r="L89" s="94"/>
      <c r="M89" s="94"/>
      <c r="N89" s="94"/>
      <c r="O89" s="94"/>
      <c r="P89" s="94"/>
      <c r="Q89" s="6"/>
      <c r="S89" s="2">
        <v>5</v>
      </c>
      <c r="T89">
        <f>F27</f>
        <v>0</v>
      </c>
    </row>
    <row r="90" spans="1:20" ht="20.25" customHeight="1" x14ac:dyDescent="0.25">
      <c r="A90" s="6"/>
      <c r="B90" s="116" t="str">
        <f>IF(F31=185,32,IF(F31=89,61.5+G12-G16,""))</f>
        <v/>
      </c>
      <c r="C90" s="94"/>
      <c r="D90" s="94"/>
      <c r="E90" s="94"/>
      <c r="F90" s="94"/>
      <c r="G90" s="94"/>
      <c r="H90" s="94"/>
      <c r="I90" s="6"/>
      <c r="J90" s="98" t="str">
        <f>IFERROR((IF(VLOOKUP(G19,S89:T92,2,0)=185,32,IF(VLOOKUP(G19,S89:T92,2,0)=89,61.5+5,""))),"")</f>
        <v/>
      </c>
      <c r="K90" s="94"/>
      <c r="L90" s="94"/>
      <c r="M90" s="94"/>
      <c r="N90" s="94"/>
      <c r="O90" s="94"/>
      <c r="P90" s="94"/>
      <c r="Q90" s="6"/>
      <c r="S90" s="2">
        <v>4</v>
      </c>
      <c r="T90">
        <f>F28</f>
        <v>0</v>
      </c>
    </row>
    <row r="91" spans="1:20" ht="20.25" customHeight="1" x14ac:dyDescent="0.25">
      <c r="A91" s="6"/>
      <c r="B91" s="116"/>
      <c r="C91" s="94"/>
      <c r="D91" s="94"/>
      <c r="E91" s="94"/>
      <c r="F91" s="94"/>
      <c r="G91" s="94"/>
      <c r="H91" s="94"/>
      <c r="I91" s="6"/>
      <c r="J91" s="98"/>
      <c r="K91" s="94"/>
      <c r="L91" s="94"/>
      <c r="M91" s="94"/>
      <c r="N91" s="94"/>
      <c r="O91" s="94"/>
      <c r="P91" s="94"/>
      <c r="Q91" s="6"/>
      <c r="S91" s="2">
        <v>3</v>
      </c>
      <c r="T91">
        <f>F29</f>
        <v>0</v>
      </c>
    </row>
    <row r="92" spans="1:20" ht="20.25" customHeight="1" x14ac:dyDescent="0.25">
      <c r="A92" s="6"/>
      <c r="B92" s="93" t="str">
        <f>IF(F31=121,61.5+G12-G16,IF(F31=249,32,""))</f>
        <v/>
      </c>
      <c r="C92" s="94"/>
      <c r="D92" s="94"/>
      <c r="E92" s="94"/>
      <c r="F92" s="94"/>
      <c r="G92" s="94"/>
      <c r="H92" s="94"/>
      <c r="I92" s="6"/>
      <c r="J92" s="61" t="str">
        <f>IFERROR((IF(VLOOKUP(G19,S89:T92,2,0)=249,32,"")),"")</f>
        <v/>
      </c>
      <c r="K92" s="94"/>
      <c r="L92" s="94"/>
      <c r="M92" s="94"/>
      <c r="N92" s="94"/>
      <c r="O92" s="94"/>
      <c r="P92" s="94"/>
      <c r="Q92" s="6"/>
      <c r="S92" s="2">
        <v>2</v>
      </c>
      <c r="T92">
        <f>F30</f>
        <v>0</v>
      </c>
    </row>
    <row r="93" spans="1:20" ht="20.25" customHeight="1" x14ac:dyDescent="0.25">
      <c r="A93" s="6"/>
      <c r="B93" s="93"/>
      <c r="C93" s="94"/>
      <c r="D93" s="94"/>
      <c r="E93" s="94"/>
      <c r="F93" s="94"/>
      <c r="G93" s="94"/>
      <c r="H93" s="94"/>
      <c r="I93" s="6"/>
      <c r="J93" s="61" t="str">
        <f>IFERROR((IF(VLOOKUP(G19,S89:T92,2,0)=121,61.5+5,"")),"")</f>
        <v/>
      </c>
      <c r="K93" s="94"/>
      <c r="L93" s="94"/>
      <c r="M93" s="94"/>
      <c r="N93" s="94"/>
      <c r="O93" s="94"/>
      <c r="P93" s="94"/>
      <c r="Q93" s="6"/>
    </row>
    <row r="94" spans="1:20" ht="20.25" customHeight="1" x14ac:dyDescent="0.25">
      <c r="A94" s="6"/>
      <c r="B94" s="61"/>
      <c r="C94" s="94"/>
      <c r="D94" s="94"/>
      <c r="E94" s="94"/>
      <c r="F94" s="94"/>
      <c r="G94" s="94"/>
      <c r="H94" s="94"/>
      <c r="I94" s="6"/>
      <c r="J94" s="59" t="str">
        <f>IFERROR((IF(VLOOKUP(G19,S89:T92,2,0)=185,61.5+5,"")),"")</f>
        <v/>
      </c>
      <c r="K94" s="94"/>
      <c r="L94" s="94"/>
      <c r="M94" s="94"/>
      <c r="N94" s="94"/>
      <c r="O94" s="94"/>
      <c r="P94" s="94"/>
      <c r="Q94" s="6"/>
    </row>
    <row r="95" spans="1:20" ht="20.25" customHeight="1" x14ac:dyDescent="0.25">
      <c r="A95" s="6"/>
      <c r="B95" s="99" t="str">
        <f>IF(OR(F31=249,F31=185),61.5+G12-G16,"")</f>
        <v/>
      </c>
      <c r="C95" s="94"/>
      <c r="D95" s="94"/>
      <c r="E95" s="94"/>
      <c r="F95" s="94"/>
      <c r="G95" s="94"/>
      <c r="H95" s="94"/>
      <c r="I95" s="6"/>
      <c r="J95" s="93" t="str">
        <f>IFERROR((IF(VLOOKUP(G19,S89:T92,2,0)=249,61.5+5,"")),"")</f>
        <v/>
      </c>
      <c r="K95" s="94"/>
      <c r="L95" s="94"/>
      <c r="M95" s="94"/>
      <c r="N95" s="94"/>
      <c r="O95" s="94"/>
      <c r="P95" s="94"/>
      <c r="Q95" s="6"/>
    </row>
    <row r="96" spans="1:20" ht="20.25" customHeight="1" x14ac:dyDescent="0.25">
      <c r="A96" s="6"/>
      <c r="B96" s="99"/>
      <c r="C96" s="94"/>
      <c r="D96" s="94"/>
      <c r="E96" s="94"/>
      <c r="F96" s="94"/>
      <c r="G96" s="94"/>
      <c r="H96" s="94"/>
      <c r="I96" s="6"/>
      <c r="J96" s="93"/>
      <c r="K96" s="94"/>
      <c r="L96" s="94"/>
      <c r="M96" s="94"/>
      <c r="N96" s="94"/>
      <c r="O96" s="94"/>
      <c r="P96" s="94"/>
      <c r="Q96" s="6"/>
    </row>
    <row r="97" spans="1:17" ht="20.25" customHeight="1" x14ac:dyDescent="0.25">
      <c r="A97" s="6"/>
      <c r="B97" s="6"/>
      <c r="C97" s="94"/>
      <c r="D97" s="94"/>
      <c r="E97" s="94"/>
      <c r="F97" s="94"/>
      <c r="G97" s="94"/>
      <c r="H97" s="94"/>
      <c r="I97" s="6"/>
      <c r="J97" s="61"/>
      <c r="K97" s="94"/>
      <c r="L97" s="94"/>
      <c r="M97" s="94"/>
      <c r="N97" s="94"/>
      <c r="O97" s="94"/>
      <c r="P97" s="94"/>
      <c r="Q97" s="6"/>
    </row>
    <row r="98" spans="1:17" ht="20.25" customHeight="1" x14ac:dyDescent="0.25">
      <c r="A98" s="6"/>
      <c r="B98" s="6"/>
      <c r="C98" s="94"/>
      <c r="D98" s="94"/>
      <c r="E98" s="94"/>
      <c r="F98" s="94"/>
      <c r="G98" s="94"/>
      <c r="H98" s="94"/>
      <c r="I98" s="6"/>
      <c r="J98" s="6"/>
      <c r="K98" s="94"/>
      <c r="L98" s="94"/>
      <c r="M98" s="94"/>
      <c r="N98" s="94"/>
      <c r="O98" s="94"/>
      <c r="P98" s="94"/>
      <c r="Q98" s="6"/>
    </row>
    <row r="99" spans="1:17" ht="20.25" customHeight="1" x14ac:dyDescent="0.25">
      <c r="A99" s="6"/>
      <c r="B99" s="6"/>
      <c r="C99" s="94"/>
      <c r="D99" s="94"/>
      <c r="E99" s="94"/>
      <c r="F99" s="94"/>
      <c r="G99" s="94"/>
      <c r="H99" s="94"/>
      <c r="I99" s="6"/>
      <c r="J99" s="6"/>
      <c r="K99" s="94"/>
      <c r="L99" s="94"/>
      <c r="M99" s="94"/>
      <c r="N99" s="94"/>
      <c r="O99" s="94"/>
      <c r="P99" s="94"/>
      <c r="Q99" s="6"/>
    </row>
    <row r="100" spans="1:17" ht="20.25" customHeight="1" x14ac:dyDescent="0.25">
      <c r="A100" s="6"/>
      <c r="B100" s="6"/>
      <c r="C100" s="94"/>
      <c r="D100" s="94"/>
      <c r="E100" s="94"/>
      <c r="F100" s="94"/>
      <c r="G100" s="94"/>
      <c r="H100" s="94"/>
      <c r="I100" s="6"/>
      <c r="J100" s="6"/>
      <c r="K100" s="94"/>
      <c r="L100" s="94"/>
      <c r="M100" s="94"/>
      <c r="N100" s="94"/>
      <c r="O100" s="94"/>
      <c r="P100" s="94"/>
      <c r="Q100" s="6"/>
    </row>
    <row r="101" spans="1:17" x14ac:dyDescent="0.25">
      <c r="A101" s="6"/>
      <c r="B101" s="6"/>
      <c r="C101" s="6"/>
      <c r="D101" s="62" t="str">
        <f>IF(F31&gt;0,14.5+G13-G17,"")</f>
        <v/>
      </c>
      <c r="E101" s="6"/>
      <c r="F101" s="6"/>
      <c r="G101" s="6"/>
      <c r="H101" s="6"/>
      <c r="I101" s="6"/>
      <c r="J101" s="6"/>
      <c r="K101" s="6"/>
      <c r="L101" s="62" t="str">
        <f>IF(AND(G19&gt;1,F31&gt;0),14.5+G13-G17,"")</f>
        <v/>
      </c>
      <c r="M101" s="6"/>
      <c r="N101" s="6"/>
      <c r="O101" s="6"/>
      <c r="P101" s="6"/>
      <c r="Q101" s="6"/>
    </row>
    <row r="102" spans="1:17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8.75" x14ac:dyDescent="0.3">
      <c r="A104" s="6"/>
      <c r="B104" s="44"/>
      <c r="C104" s="44" t="str">
        <f>IF(AND(G19&gt;2,F30&gt;0),Překlady!C62,"")</f>
        <v/>
      </c>
      <c r="D104" s="6"/>
      <c r="E104" s="6"/>
      <c r="F104" s="6"/>
      <c r="G104" s="6"/>
      <c r="H104" s="6"/>
      <c r="I104" s="6"/>
      <c r="J104" s="44"/>
      <c r="K104" s="44" t="str">
        <f>IF(AND(G19&gt;3,F30&gt;0),Překlady!C63,"")</f>
        <v/>
      </c>
      <c r="L104" s="6"/>
      <c r="M104" s="6"/>
      <c r="N104" s="6"/>
      <c r="O104" s="6"/>
      <c r="P104" s="6"/>
      <c r="Q104" s="6"/>
    </row>
    <row r="105" spans="1:1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20.25" customHeight="1" x14ac:dyDescent="0.25">
      <c r="A106" s="6"/>
      <c r="B106" s="6"/>
      <c r="C106" s="94" t="str">
        <f>IF(G19&gt;2,VLOOKUP(F30,nákresy!B2:C5,2,0),"")</f>
        <v/>
      </c>
      <c r="D106" s="94"/>
      <c r="E106" s="94"/>
      <c r="F106" s="94"/>
      <c r="G106" s="94"/>
      <c r="H106" s="94"/>
      <c r="I106" s="6"/>
      <c r="J106" s="6"/>
      <c r="K106" s="94" t="str">
        <f>IF(G19&gt;3,VLOOKUP(F29,nákresy!B2:C5,2,0),"")</f>
        <v/>
      </c>
      <c r="L106" s="94"/>
      <c r="M106" s="94"/>
      <c r="N106" s="94"/>
      <c r="O106" s="94"/>
      <c r="P106" s="94"/>
      <c r="Q106" s="6"/>
    </row>
    <row r="107" spans="1:17" ht="20.25" customHeight="1" x14ac:dyDescent="0.25">
      <c r="A107" s="6"/>
      <c r="B107" s="6"/>
      <c r="C107" s="94"/>
      <c r="D107" s="94"/>
      <c r="E107" s="94"/>
      <c r="F107" s="94"/>
      <c r="G107" s="94"/>
      <c r="H107" s="94"/>
      <c r="I107" s="6"/>
      <c r="J107" s="6"/>
      <c r="K107" s="94"/>
      <c r="L107" s="94"/>
      <c r="M107" s="94"/>
      <c r="N107" s="94"/>
      <c r="O107" s="94"/>
      <c r="P107" s="94"/>
      <c r="Q107" s="6"/>
    </row>
    <row r="108" spans="1:17" ht="20.25" customHeight="1" x14ac:dyDescent="0.25">
      <c r="A108" s="6"/>
      <c r="B108" s="6"/>
      <c r="C108" s="94"/>
      <c r="D108" s="94"/>
      <c r="E108" s="94"/>
      <c r="F108" s="94"/>
      <c r="G108" s="94"/>
      <c r="H108" s="94"/>
      <c r="I108" s="6"/>
      <c r="J108" s="6"/>
      <c r="K108" s="94"/>
      <c r="L108" s="94"/>
      <c r="M108" s="94"/>
      <c r="N108" s="94"/>
      <c r="O108" s="94"/>
      <c r="P108" s="94"/>
      <c r="Q108" s="6"/>
    </row>
    <row r="109" spans="1:17" ht="20.25" customHeight="1" x14ac:dyDescent="0.25">
      <c r="A109" s="6"/>
      <c r="B109" s="55"/>
      <c r="C109" s="94"/>
      <c r="D109" s="94"/>
      <c r="E109" s="94"/>
      <c r="F109" s="94"/>
      <c r="G109" s="94"/>
      <c r="H109" s="94"/>
      <c r="I109" s="6"/>
      <c r="J109" s="55"/>
      <c r="K109" s="94"/>
      <c r="L109" s="94"/>
      <c r="M109" s="94"/>
      <c r="N109" s="94"/>
      <c r="O109" s="94"/>
      <c r="P109" s="94"/>
      <c r="Q109" s="6"/>
    </row>
    <row r="110" spans="1:17" ht="20.25" customHeight="1" x14ac:dyDescent="0.25">
      <c r="A110" s="6"/>
      <c r="B110" s="55" t="str">
        <f>IF(AND(G19&gt;2,F30&gt;0),IF(F30=249,"32",""),"")</f>
        <v/>
      </c>
      <c r="C110" s="94"/>
      <c r="D110" s="94"/>
      <c r="E110" s="94"/>
      <c r="F110" s="94"/>
      <c r="G110" s="94"/>
      <c r="H110" s="94"/>
      <c r="I110" s="6"/>
      <c r="J110" s="55" t="str">
        <f>IF(AND(G19&gt;3,F29&gt;0),IF(F29=249,"32",""),"")</f>
        <v/>
      </c>
      <c r="K110" s="94"/>
      <c r="L110" s="94"/>
      <c r="M110" s="94"/>
      <c r="N110" s="94"/>
      <c r="O110" s="94"/>
      <c r="P110" s="94"/>
      <c r="Q110" s="6"/>
    </row>
    <row r="111" spans="1:17" ht="20.25" customHeight="1" x14ac:dyDescent="0.25">
      <c r="A111" s="6"/>
      <c r="B111" s="56"/>
      <c r="C111" s="94"/>
      <c r="D111" s="94"/>
      <c r="E111" s="94"/>
      <c r="F111" s="94"/>
      <c r="G111" s="94"/>
      <c r="H111" s="94"/>
      <c r="I111" s="6"/>
      <c r="J111" s="56"/>
      <c r="K111" s="94"/>
      <c r="L111" s="94"/>
      <c r="M111" s="94"/>
      <c r="N111" s="94"/>
      <c r="O111" s="94"/>
      <c r="P111" s="94"/>
      <c r="Q111" s="6"/>
    </row>
    <row r="112" spans="1:17" ht="20.25" customHeight="1" x14ac:dyDescent="0.25">
      <c r="A112" s="6"/>
      <c r="B112" s="55" t="str">
        <f>IF(AND(G19&gt;2,F30&gt;0),IF(OR(F30=185,F30=89),"32",""),"")</f>
        <v/>
      </c>
      <c r="C112" s="94"/>
      <c r="D112" s="94"/>
      <c r="E112" s="94"/>
      <c r="F112" s="94"/>
      <c r="G112" s="94"/>
      <c r="H112" s="94"/>
      <c r="I112" s="6"/>
      <c r="J112" s="55" t="str">
        <f>IF(AND(G19&gt;3,F29&gt;0),IF(OR(F29=185,F29=89),"32",""),"")</f>
        <v/>
      </c>
      <c r="K112" s="94"/>
      <c r="L112" s="94"/>
      <c r="M112" s="94"/>
      <c r="N112" s="94"/>
      <c r="O112" s="94"/>
      <c r="P112" s="94"/>
      <c r="Q112" s="6"/>
    </row>
    <row r="113" spans="1:17" ht="20.25" customHeight="1" x14ac:dyDescent="0.25">
      <c r="A113" s="6"/>
      <c r="B113" s="57" t="str">
        <f>IF(AND(G19&gt;2,F30&gt;0),IF(F30=249,"32",""),"")</f>
        <v/>
      </c>
      <c r="C113" s="94"/>
      <c r="D113" s="94"/>
      <c r="E113" s="94"/>
      <c r="F113" s="94"/>
      <c r="G113" s="94"/>
      <c r="H113" s="94"/>
      <c r="I113" s="6"/>
      <c r="J113" s="57" t="str">
        <f>IF(AND(G19&gt;3,F29&gt;0),IF(F29=249,"32",""),"")</f>
        <v/>
      </c>
      <c r="K113" s="94"/>
      <c r="L113" s="94"/>
      <c r="M113" s="94"/>
      <c r="N113" s="94"/>
      <c r="O113" s="94"/>
      <c r="P113" s="94"/>
      <c r="Q113" s="6"/>
    </row>
    <row r="114" spans="1:17" ht="20.25" customHeight="1" x14ac:dyDescent="0.25">
      <c r="A114" s="6"/>
      <c r="B114" s="58"/>
      <c r="C114" s="94"/>
      <c r="D114" s="94"/>
      <c r="E114" s="94"/>
      <c r="F114" s="94"/>
      <c r="G114" s="94"/>
      <c r="H114" s="94"/>
      <c r="I114" s="6"/>
      <c r="J114" s="58"/>
      <c r="K114" s="94"/>
      <c r="L114" s="94"/>
      <c r="M114" s="94"/>
      <c r="N114" s="94"/>
      <c r="O114" s="94"/>
      <c r="P114" s="94"/>
      <c r="Q114" s="6"/>
    </row>
    <row r="115" spans="1:17" ht="20.25" customHeight="1" x14ac:dyDescent="0.25">
      <c r="A115" s="6"/>
      <c r="B115" s="59" t="str">
        <f>IF(AND(G19&gt;2,F30&gt;0),IF(F30=249,"32",""),"")</f>
        <v/>
      </c>
      <c r="C115" s="94"/>
      <c r="D115" s="94"/>
      <c r="E115" s="94"/>
      <c r="F115" s="94"/>
      <c r="G115" s="94"/>
      <c r="H115" s="94"/>
      <c r="I115" s="6"/>
      <c r="J115" s="59" t="str">
        <f>IF(AND(G19&gt;3,F29&gt;0),IF(F29=249,"32",""),"")</f>
        <v/>
      </c>
      <c r="K115" s="94"/>
      <c r="L115" s="94"/>
      <c r="M115" s="94"/>
      <c r="N115" s="94"/>
      <c r="O115" s="94"/>
      <c r="P115" s="94"/>
      <c r="Q115" s="6"/>
    </row>
    <row r="116" spans="1:17" ht="20.25" customHeight="1" x14ac:dyDescent="0.25">
      <c r="A116" s="6"/>
      <c r="B116" s="60" t="str">
        <f>IF(AND(G19&gt;2,F30&gt;0),IF(F30=185,"64",""),"")</f>
        <v/>
      </c>
      <c r="C116" s="94"/>
      <c r="D116" s="94"/>
      <c r="E116" s="94"/>
      <c r="F116" s="94"/>
      <c r="G116" s="94"/>
      <c r="H116" s="94"/>
      <c r="I116" s="115" t="str">
        <f>IF(AND(G19&gt;2,F30&gt;0),D30-$G$21,"")</f>
        <v/>
      </c>
      <c r="J116" s="60" t="str">
        <f>IF(AND(G19&gt;3,F29&gt;0),IF(F29=185,"64",""),"")</f>
        <v/>
      </c>
      <c r="K116" s="94"/>
      <c r="L116" s="94"/>
      <c r="M116" s="94"/>
      <c r="N116" s="94"/>
      <c r="O116" s="94"/>
      <c r="P116" s="94"/>
      <c r="Q116" s="115" t="str">
        <f>IF(AND(G19&gt;3,F29&gt;0),D29-$G$21,"")</f>
        <v/>
      </c>
    </row>
    <row r="117" spans="1:17" ht="20.25" customHeight="1" x14ac:dyDescent="0.25">
      <c r="A117" s="6"/>
      <c r="B117" s="56" t="str">
        <f>IF(AND(G19&gt;2,F30&gt;0),IF(F30=121,"32",""),"")</f>
        <v/>
      </c>
      <c r="C117" s="94"/>
      <c r="D117" s="94"/>
      <c r="E117" s="94"/>
      <c r="F117" s="94"/>
      <c r="G117" s="94"/>
      <c r="H117" s="94"/>
      <c r="I117" s="115"/>
      <c r="J117" s="56" t="str">
        <f>IF(AND(G19&gt;3,F29&gt;0),IF(F29=121,"32",""),"")</f>
        <v/>
      </c>
      <c r="K117" s="94"/>
      <c r="L117" s="94"/>
      <c r="M117" s="94"/>
      <c r="N117" s="94"/>
      <c r="O117" s="94"/>
      <c r="P117" s="94"/>
      <c r="Q117" s="115"/>
    </row>
    <row r="118" spans="1:17" ht="20.25" customHeight="1" x14ac:dyDescent="0.25">
      <c r="A118" s="6"/>
      <c r="B118" s="98" t="str">
        <f>IF(AND(G19&gt;2,F30&gt;0),IF(F30=249,"64",""),"")</f>
        <v/>
      </c>
      <c r="C118" s="94"/>
      <c r="D118" s="94"/>
      <c r="E118" s="94"/>
      <c r="F118" s="94"/>
      <c r="G118" s="94"/>
      <c r="H118" s="94"/>
      <c r="I118" s="61"/>
      <c r="J118" s="98" t="str">
        <f>IF(AND(G19&gt;3,F29&gt;0),IF(F29=249,"64",""),"")</f>
        <v/>
      </c>
      <c r="K118" s="94"/>
      <c r="L118" s="94"/>
      <c r="M118" s="94"/>
      <c r="N118" s="94"/>
      <c r="O118" s="94"/>
      <c r="P118" s="94"/>
      <c r="Q118" s="61"/>
    </row>
    <row r="119" spans="1:17" ht="20.25" customHeight="1" x14ac:dyDescent="0.25">
      <c r="A119" s="6"/>
      <c r="B119" s="98"/>
      <c r="C119" s="94"/>
      <c r="D119" s="94"/>
      <c r="E119" s="94"/>
      <c r="F119" s="94"/>
      <c r="G119" s="94"/>
      <c r="H119" s="94"/>
      <c r="I119" s="61"/>
      <c r="J119" s="98"/>
      <c r="K119" s="94"/>
      <c r="L119" s="94"/>
      <c r="M119" s="94"/>
      <c r="N119" s="94"/>
      <c r="O119" s="94"/>
      <c r="P119" s="94"/>
      <c r="Q119" s="61"/>
    </row>
    <row r="120" spans="1:17" ht="20.25" customHeight="1" x14ac:dyDescent="0.25">
      <c r="A120" s="6"/>
      <c r="B120" s="98" t="str">
        <f>IF(G19&gt;2,IF(F30=185,32,IF(F30=89,61.5+5,"")),"")</f>
        <v/>
      </c>
      <c r="C120" s="94"/>
      <c r="D120" s="94"/>
      <c r="E120" s="94"/>
      <c r="F120" s="94"/>
      <c r="G120" s="94"/>
      <c r="H120" s="94"/>
      <c r="I120" s="6"/>
      <c r="J120" s="98" t="str">
        <f>IF(AND(G19&gt;3,F29&gt;0),IF(F29=185,32,IF(F29=89,61.5+5,"")),"")</f>
        <v/>
      </c>
      <c r="K120" s="94"/>
      <c r="L120" s="94"/>
      <c r="M120" s="94"/>
      <c r="N120" s="94"/>
      <c r="O120" s="94"/>
      <c r="P120" s="94"/>
      <c r="Q120" s="6"/>
    </row>
    <row r="121" spans="1:17" ht="20.25" customHeight="1" x14ac:dyDescent="0.25">
      <c r="A121" s="6"/>
      <c r="B121" s="98"/>
      <c r="C121" s="94"/>
      <c r="D121" s="94"/>
      <c r="E121" s="94"/>
      <c r="F121" s="94"/>
      <c r="G121" s="94"/>
      <c r="H121" s="94"/>
      <c r="I121" s="6"/>
      <c r="J121" s="98"/>
      <c r="K121" s="94"/>
      <c r="L121" s="94"/>
      <c r="M121" s="94"/>
      <c r="N121" s="94"/>
      <c r="O121" s="94"/>
      <c r="P121" s="94"/>
      <c r="Q121" s="6"/>
    </row>
    <row r="122" spans="1:17" ht="20.25" customHeight="1" x14ac:dyDescent="0.25">
      <c r="A122" s="6"/>
      <c r="B122" s="93" t="str">
        <f>IF(G19&gt;2,IF(F30=121,61.5+5,IF(F30=249,32,"")),"")</f>
        <v/>
      </c>
      <c r="C122" s="94"/>
      <c r="D122" s="94"/>
      <c r="E122" s="94"/>
      <c r="F122" s="94"/>
      <c r="G122" s="94"/>
      <c r="H122" s="94"/>
      <c r="I122" s="6"/>
      <c r="J122" s="93" t="str">
        <f>IF(AND(G19&gt;3,F29&gt;0),IF(F29=121,61.5+5,IF(F29=249,32,"")),"")</f>
        <v/>
      </c>
      <c r="K122" s="94"/>
      <c r="L122" s="94"/>
      <c r="M122" s="94"/>
      <c r="N122" s="94"/>
      <c r="O122" s="94"/>
      <c r="P122" s="94"/>
      <c r="Q122" s="6"/>
    </row>
    <row r="123" spans="1:17" ht="20.25" customHeight="1" x14ac:dyDescent="0.25">
      <c r="A123" s="6"/>
      <c r="B123" s="93"/>
      <c r="C123" s="94"/>
      <c r="D123" s="94"/>
      <c r="E123" s="94"/>
      <c r="F123" s="94"/>
      <c r="G123" s="94"/>
      <c r="H123" s="94"/>
      <c r="I123" s="6"/>
      <c r="J123" s="93"/>
      <c r="K123" s="94"/>
      <c r="L123" s="94"/>
      <c r="M123" s="94"/>
      <c r="N123" s="94"/>
      <c r="O123" s="94"/>
      <c r="P123" s="94"/>
      <c r="Q123" s="6"/>
    </row>
    <row r="124" spans="1:17" ht="20.25" customHeight="1" x14ac:dyDescent="0.25">
      <c r="A124" s="6"/>
      <c r="B124" s="61"/>
      <c r="C124" s="94"/>
      <c r="D124" s="94"/>
      <c r="E124" s="94"/>
      <c r="F124" s="94"/>
      <c r="G124" s="94"/>
      <c r="H124" s="94"/>
      <c r="I124" s="6"/>
      <c r="J124" s="61"/>
      <c r="K124" s="94"/>
      <c r="L124" s="94"/>
      <c r="M124" s="94"/>
      <c r="N124" s="94"/>
      <c r="O124" s="94"/>
      <c r="P124" s="94"/>
      <c r="Q124" s="6"/>
    </row>
    <row r="125" spans="1:17" ht="20.25" customHeight="1" x14ac:dyDescent="0.25">
      <c r="A125" s="6"/>
      <c r="B125" s="93" t="str">
        <f>IF(G19&gt;2,IF(OR(F30=249,F30=185),61.5+5,""),"")</f>
        <v/>
      </c>
      <c r="C125" s="94"/>
      <c r="D125" s="94"/>
      <c r="E125" s="94"/>
      <c r="F125" s="94"/>
      <c r="G125" s="94"/>
      <c r="H125" s="94"/>
      <c r="I125" s="6"/>
      <c r="J125" s="93" t="str">
        <f>IF(G19&gt;3,IF(OR(F29=249,F29=185),61.5+5,""),"")</f>
        <v/>
      </c>
      <c r="K125" s="94"/>
      <c r="L125" s="94"/>
      <c r="M125" s="94"/>
      <c r="N125" s="94"/>
      <c r="O125" s="94"/>
      <c r="P125" s="94"/>
      <c r="Q125" s="6"/>
    </row>
    <row r="126" spans="1:17" ht="20.25" customHeight="1" x14ac:dyDescent="0.25">
      <c r="A126" s="6"/>
      <c r="B126" s="93"/>
      <c r="C126" s="94"/>
      <c r="D126" s="94"/>
      <c r="E126" s="94"/>
      <c r="F126" s="94"/>
      <c r="G126" s="94"/>
      <c r="H126" s="94"/>
      <c r="I126" s="6"/>
      <c r="J126" s="93"/>
      <c r="K126" s="94"/>
      <c r="L126" s="94"/>
      <c r="M126" s="94"/>
      <c r="N126" s="94"/>
      <c r="O126" s="94"/>
      <c r="P126" s="94"/>
      <c r="Q126" s="6"/>
    </row>
    <row r="127" spans="1:17" ht="20.25" customHeight="1" x14ac:dyDescent="0.25">
      <c r="A127" s="6"/>
      <c r="B127" s="6"/>
      <c r="C127" s="94"/>
      <c r="D127" s="94"/>
      <c r="E127" s="94"/>
      <c r="F127" s="94"/>
      <c r="G127" s="94"/>
      <c r="H127" s="94"/>
      <c r="I127" s="6"/>
      <c r="J127" s="6"/>
      <c r="K127" s="94"/>
      <c r="L127" s="94"/>
      <c r="M127" s="94"/>
      <c r="N127" s="94"/>
      <c r="O127" s="94"/>
      <c r="P127" s="94"/>
      <c r="Q127" s="6"/>
    </row>
    <row r="128" spans="1:17" ht="20.25" customHeight="1" x14ac:dyDescent="0.25">
      <c r="A128" s="6"/>
      <c r="B128" s="6"/>
      <c r="C128" s="94"/>
      <c r="D128" s="94"/>
      <c r="E128" s="94"/>
      <c r="F128" s="94"/>
      <c r="G128" s="94"/>
      <c r="H128" s="94"/>
      <c r="I128" s="6"/>
      <c r="J128" s="6"/>
      <c r="K128" s="94"/>
      <c r="L128" s="94"/>
      <c r="M128" s="94"/>
      <c r="N128" s="94"/>
      <c r="O128" s="94"/>
      <c r="P128" s="94"/>
      <c r="Q128" s="6"/>
    </row>
    <row r="129" spans="1:17" ht="20.25" customHeight="1" x14ac:dyDescent="0.25">
      <c r="A129" s="6"/>
      <c r="B129" s="6"/>
      <c r="C129" s="94"/>
      <c r="D129" s="94"/>
      <c r="E129" s="94"/>
      <c r="F129" s="94"/>
      <c r="G129" s="94"/>
      <c r="H129" s="94"/>
      <c r="I129" s="6"/>
      <c r="J129" s="6"/>
      <c r="K129" s="94"/>
      <c r="L129" s="94"/>
      <c r="M129" s="94"/>
      <c r="N129" s="94"/>
      <c r="O129" s="94"/>
      <c r="P129" s="94"/>
      <c r="Q129" s="6"/>
    </row>
    <row r="130" spans="1:17" ht="20.25" customHeight="1" x14ac:dyDescent="0.25">
      <c r="A130" s="6"/>
      <c r="B130" s="6"/>
      <c r="C130" s="94"/>
      <c r="D130" s="94"/>
      <c r="E130" s="94"/>
      <c r="F130" s="94"/>
      <c r="G130" s="94"/>
      <c r="H130" s="94"/>
      <c r="I130" s="6"/>
      <c r="J130" s="6"/>
      <c r="K130" s="94"/>
      <c r="L130" s="94"/>
      <c r="M130" s="94"/>
      <c r="N130" s="94"/>
      <c r="O130" s="94"/>
      <c r="P130" s="94"/>
      <c r="Q130" s="6"/>
    </row>
    <row r="131" spans="1:17" ht="21" customHeight="1" x14ac:dyDescent="0.25">
      <c r="A131" s="6"/>
      <c r="B131" s="61"/>
      <c r="C131" s="6"/>
      <c r="D131" s="65" t="str">
        <f>IF(AND(G19&gt;2,F30&gt;0),14.5+G13-G17,"")</f>
        <v/>
      </c>
      <c r="E131" s="6"/>
      <c r="F131" s="6"/>
      <c r="G131" s="6"/>
      <c r="H131" s="6"/>
      <c r="I131" s="6"/>
      <c r="J131" s="6"/>
      <c r="K131" s="6"/>
      <c r="L131" s="65" t="str">
        <f>IF(AND(G19&gt;3,F29&gt;0),14.5+G13-G17,"")</f>
        <v/>
      </c>
      <c r="M131" s="6"/>
      <c r="N131" s="6"/>
      <c r="O131" s="6"/>
      <c r="P131" s="6"/>
      <c r="Q131" s="6"/>
    </row>
    <row r="132" spans="1:17" x14ac:dyDescent="0.25">
      <c r="A132" s="6"/>
      <c r="B132" s="6"/>
      <c r="C132" s="6"/>
      <c r="D132" s="65"/>
      <c r="E132" s="6"/>
      <c r="F132" s="6"/>
      <c r="G132" s="6"/>
      <c r="H132" s="6"/>
      <c r="I132" s="6"/>
      <c r="J132" s="6"/>
      <c r="K132" s="6"/>
      <c r="L132" s="65"/>
      <c r="M132" s="6"/>
      <c r="N132" s="6"/>
      <c r="O132" s="6"/>
      <c r="P132" s="6"/>
      <c r="Q132" s="6"/>
    </row>
    <row r="133" spans="1:17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ht="18.75" x14ac:dyDescent="0.3">
      <c r="A135" s="6"/>
      <c r="B135" s="44"/>
      <c r="C135" s="44" t="str">
        <f>IF(AND(G19&gt;4,F30&gt;0),Překlady!C64,"")</f>
        <v/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ht="20.25" customHeight="1" x14ac:dyDescent="0.25">
      <c r="A137" s="6"/>
      <c r="B137" s="61"/>
      <c r="C137" s="94" t="str">
        <f>IF(G19&gt;4,VLOOKUP(F28,nákresy!B2:C5,2,0),"")</f>
        <v/>
      </c>
      <c r="D137" s="94"/>
      <c r="E137" s="94"/>
      <c r="F137" s="94"/>
      <c r="G137" s="94"/>
      <c r="H137" s="94"/>
      <c r="I137" s="6"/>
      <c r="J137" s="6"/>
      <c r="K137" s="6"/>
      <c r="L137" s="6"/>
      <c r="M137" s="6"/>
      <c r="N137" s="6"/>
      <c r="O137" s="6"/>
      <c r="P137" s="6"/>
      <c r="Q137" s="6"/>
    </row>
    <row r="138" spans="1:17" ht="20.25" customHeight="1" x14ac:dyDescent="0.25">
      <c r="A138" s="6"/>
      <c r="B138" s="61"/>
      <c r="C138" s="94"/>
      <c r="D138" s="94"/>
      <c r="E138" s="94"/>
      <c r="F138" s="94"/>
      <c r="G138" s="94"/>
      <c r="H138" s="94"/>
      <c r="I138" s="6"/>
      <c r="J138" s="6"/>
      <c r="K138" s="6"/>
      <c r="L138" s="6"/>
      <c r="M138" s="6"/>
      <c r="N138" s="6"/>
      <c r="O138" s="6"/>
      <c r="P138" s="6"/>
      <c r="Q138" s="6"/>
    </row>
    <row r="139" spans="1:17" ht="20.25" customHeight="1" x14ac:dyDescent="0.25">
      <c r="A139" s="6"/>
      <c r="B139" s="61"/>
      <c r="C139" s="94"/>
      <c r="D139" s="94"/>
      <c r="E139" s="94"/>
      <c r="F139" s="94"/>
      <c r="G139" s="94"/>
      <c r="H139" s="94"/>
      <c r="I139" s="6"/>
      <c r="J139" s="6"/>
      <c r="K139" s="6"/>
      <c r="L139" s="6"/>
      <c r="M139" s="6"/>
      <c r="N139" s="6"/>
      <c r="O139" s="6"/>
      <c r="P139" s="6"/>
      <c r="Q139" s="6"/>
    </row>
    <row r="140" spans="1:17" ht="20.25" customHeight="1" x14ac:dyDescent="0.25">
      <c r="A140" s="6"/>
      <c r="B140" s="93" t="str">
        <f>IF(G19&gt;4,IF(F28=249,32,""),"")</f>
        <v/>
      </c>
      <c r="C140" s="94"/>
      <c r="D140" s="94"/>
      <c r="E140" s="94"/>
      <c r="F140" s="94"/>
      <c r="G140" s="94"/>
      <c r="H140" s="94"/>
      <c r="I140" s="6"/>
      <c r="J140" s="6"/>
      <c r="K140" s="6"/>
      <c r="L140" s="6"/>
      <c r="M140" s="6"/>
      <c r="N140" s="6"/>
      <c r="O140" s="6"/>
      <c r="P140" s="6"/>
      <c r="Q140" s="6"/>
    </row>
    <row r="141" spans="1:17" ht="20.25" customHeight="1" x14ac:dyDescent="0.25">
      <c r="A141" s="6"/>
      <c r="B141" s="93"/>
      <c r="C141" s="94"/>
      <c r="D141" s="94"/>
      <c r="E141" s="94"/>
      <c r="F141" s="94"/>
      <c r="G141" s="94"/>
      <c r="H141" s="94"/>
      <c r="I141" s="6"/>
      <c r="J141" s="6"/>
      <c r="K141" s="6"/>
      <c r="L141" s="6"/>
      <c r="M141" s="6"/>
      <c r="N141" s="6"/>
      <c r="O141" s="6"/>
      <c r="P141" s="6"/>
      <c r="Q141" s="6"/>
    </row>
    <row r="142" spans="1:17" ht="20.25" customHeight="1" x14ac:dyDescent="0.25">
      <c r="A142" s="6"/>
      <c r="B142" s="61"/>
      <c r="C142" s="94"/>
      <c r="D142" s="94"/>
      <c r="E142" s="94"/>
      <c r="F142" s="94"/>
      <c r="G142" s="94"/>
      <c r="H142" s="94"/>
      <c r="I142" s="6"/>
      <c r="J142" s="6"/>
      <c r="K142" s="6"/>
      <c r="L142" s="6"/>
      <c r="M142" s="6"/>
      <c r="N142" s="6"/>
      <c r="O142" s="6"/>
      <c r="P142" s="6"/>
      <c r="Q142" s="6"/>
    </row>
    <row r="143" spans="1:17" ht="20.25" customHeight="1" x14ac:dyDescent="0.25">
      <c r="A143" s="6"/>
      <c r="B143" s="63" t="str">
        <f>IF(G19&gt;4,IF(OR(F28=89,F28=185,F28=249),32,""),"")</f>
        <v/>
      </c>
      <c r="C143" s="94"/>
      <c r="D143" s="94"/>
      <c r="E143" s="94"/>
      <c r="F143" s="94"/>
      <c r="G143" s="94"/>
      <c r="H143" s="94"/>
      <c r="I143" s="6"/>
      <c r="J143" s="6"/>
      <c r="K143" s="6"/>
      <c r="L143" s="6"/>
      <c r="M143" s="6"/>
      <c r="N143" s="6"/>
      <c r="O143" s="6"/>
      <c r="P143" s="6"/>
      <c r="Q143" s="6"/>
    </row>
    <row r="144" spans="1:17" ht="20.25" customHeight="1" x14ac:dyDescent="0.25">
      <c r="A144" s="6"/>
      <c r="B144" s="61"/>
      <c r="C144" s="94"/>
      <c r="D144" s="94"/>
      <c r="E144" s="94"/>
      <c r="F144" s="94"/>
      <c r="G144" s="94"/>
      <c r="H144" s="94"/>
      <c r="I144" s="6"/>
      <c r="J144" s="6"/>
      <c r="K144" s="6"/>
      <c r="L144" s="6"/>
      <c r="M144" s="6"/>
      <c r="N144" s="6"/>
      <c r="O144" s="6"/>
      <c r="P144" s="6"/>
      <c r="Q144" s="6"/>
    </row>
    <row r="145" spans="1:17" ht="20.25" customHeight="1" x14ac:dyDescent="0.25">
      <c r="A145" s="6"/>
      <c r="B145" s="61"/>
      <c r="C145" s="94"/>
      <c r="D145" s="94"/>
      <c r="E145" s="94"/>
      <c r="F145" s="94"/>
      <c r="G145" s="94"/>
      <c r="H145" s="94"/>
      <c r="I145" s="6"/>
      <c r="J145" s="6"/>
      <c r="K145" s="6"/>
      <c r="L145" s="6"/>
      <c r="M145" s="6"/>
      <c r="N145" s="6"/>
      <c r="O145" s="6"/>
      <c r="P145" s="6"/>
      <c r="Q145" s="6"/>
    </row>
    <row r="146" spans="1:17" ht="20.25" customHeight="1" x14ac:dyDescent="0.25">
      <c r="A146" s="6"/>
      <c r="B146" s="61" t="str">
        <f>IF(G19&gt;4,IF(F28=249,32,""),"")</f>
        <v/>
      </c>
      <c r="C146" s="94"/>
      <c r="D146" s="94"/>
      <c r="E146" s="94"/>
      <c r="F146" s="94"/>
      <c r="G146" s="94"/>
      <c r="H146" s="94"/>
      <c r="I146" s="6"/>
      <c r="J146" s="6"/>
      <c r="K146" s="6"/>
      <c r="L146" s="6"/>
      <c r="M146" s="6"/>
      <c r="N146" s="6"/>
      <c r="O146" s="6"/>
      <c r="P146" s="6"/>
      <c r="Q146" s="6"/>
    </row>
    <row r="147" spans="1:17" ht="20.25" customHeight="1" x14ac:dyDescent="0.25">
      <c r="A147" s="6"/>
      <c r="B147" s="61" t="str">
        <f>IF(G19&gt;4,IF(F28=185,64,""),"")</f>
        <v/>
      </c>
      <c r="C147" s="94"/>
      <c r="D147" s="94"/>
      <c r="E147" s="94"/>
      <c r="F147" s="94"/>
      <c r="G147" s="94"/>
      <c r="H147" s="94"/>
      <c r="I147" s="115" t="str">
        <f>IF(AND(G19&gt;4,F28&gt;0),D28-$G$21,"")</f>
        <v/>
      </c>
      <c r="J147" s="6"/>
      <c r="K147" s="6"/>
      <c r="L147" s="6"/>
      <c r="M147" s="6"/>
      <c r="N147" s="6"/>
      <c r="O147" s="6"/>
      <c r="P147" s="6"/>
      <c r="Q147" s="6"/>
    </row>
    <row r="148" spans="1:17" ht="20.25" customHeight="1" x14ac:dyDescent="0.25">
      <c r="A148" s="6"/>
      <c r="B148" s="61" t="str">
        <f>IF(G19&gt;4,IF(F28=121,32,""),"")</f>
        <v/>
      </c>
      <c r="C148" s="94"/>
      <c r="D148" s="94"/>
      <c r="E148" s="94"/>
      <c r="F148" s="94"/>
      <c r="G148" s="94"/>
      <c r="H148" s="94"/>
      <c r="I148" s="115"/>
      <c r="J148" s="6"/>
      <c r="K148" s="6"/>
      <c r="L148" s="6"/>
      <c r="M148" s="6"/>
      <c r="N148" s="6"/>
      <c r="O148" s="6"/>
      <c r="P148" s="6"/>
      <c r="Q148" s="6"/>
    </row>
    <row r="149" spans="1:17" ht="20.25" customHeight="1" x14ac:dyDescent="0.25">
      <c r="A149" s="6"/>
      <c r="B149" s="93" t="str">
        <f>IF(G19&gt;4,IF(F28=249,"64",""),"")</f>
        <v/>
      </c>
      <c r="C149" s="94"/>
      <c r="D149" s="94"/>
      <c r="E149" s="94"/>
      <c r="F149" s="94"/>
      <c r="G149" s="94"/>
      <c r="H149" s="94"/>
      <c r="I149" s="58"/>
      <c r="J149" s="6"/>
      <c r="K149" s="6"/>
      <c r="L149" s="6"/>
      <c r="M149" s="6"/>
      <c r="N149" s="6"/>
      <c r="O149" s="6"/>
      <c r="P149" s="6"/>
      <c r="Q149" s="6"/>
    </row>
    <row r="150" spans="1:17" ht="20.25" customHeight="1" x14ac:dyDescent="0.25">
      <c r="A150" s="6"/>
      <c r="B150" s="93"/>
      <c r="C150" s="94"/>
      <c r="D150" s="94"/>
      <c r="E150" s="94"/>
      <c r="F150" s="94"/>
      <c r="G150" s="94"/>
      <c r="H150" s="94"/>
      <c r="I150" s="58"/>
      <c r="J150" s="6"/>
      <c r="K150" s="6"/>
      <c r="L150" s="6"/>
      <c r="M150" s="6"/>
      <c r="N150" s="6"/>
      <c r="O150" s="6"/>
      <c r="P150" s="6"/>
      <c r="Q150" s="6"/>
    </row>
    <row r="151" spans="1:17" ht="20.25" customHeight="1" x14ac:dyDescent="0.25">
      <c r="A151" s="6"/>
      <c r="B151" s="93" t="str">
        <f>IF(G19&gt;4,IF(F28=185,32,IF(F28=89,61.5+5,"")),"")</f>
        <v/>
      </c>
      <c r="C151" s="94"/>
      <c r="D151" s="94"/>
      <c r="E151" s="94"/>
      <c r="F151" s="94"/>
      <c r="G151" s="94"/>
      <c r="H151" s="94"/>
      <c r="I151" s="6"/>
      <c r="J151" s="6"/>
      <c r="K151" s="6"/>
      <c r="L151" s="6"/>
      <c r="M151" s="6"/>
      <c r="N151" s="6"/>
      <c r="O151" s="6"/>
      <c r="P151" s="6"/>
      <c r="Q151" s="6"/>
    </row>
    <row r="152" spans="1:17" ht="20.25" customHeight="1" x14ac:dyDescent="0.25">
      <c r="A152" s="6"/>
      <c r="B152" s="93"/>
      <c r="C152" s="94"/>
      <c r="D152" s="94"/>
      <c r="E152" s="94"/>
      <c r="F152" s="94"/>
      <c r="G152" s="94"/>
      <c r="H152" s="94"/>
      <c r="I152" s="6"/>
      <c r="J152" s="6"/>
      <c r="K152" s="6"/>
      <c r="L152" s="6"/>
      <c r="M152" s="6"/>
      <c r="N152" s="6"/>
      <c r="O152" s="6"/>
      <c r="P152" s="6"/>
      <c r="Q152" s="6"/>
    </row>
    <row r="153" spans="1:17" ht="20.25" customHeight="1" x14ac:dyDescent="0.25">
      <c r="A153" s="6"/>
      <c r="B153" s="61" t="str">
        <f>IF(G19&gt;4,IF(F28=249,32,""),"")</f>
        <v/>
      </c>
      <c r="C153" s="94"/>
      <c r="D153" s="94"/>
      <c r="E153" s="94"/>
      <c r="F153" s="94"/>
      <c r="G153" s="94"/>
      <c r="H153" s="94"/>
      <c r="I153" s="6"/>
      <c r="J153" s="6"/>
      <c r="K153" s="6"/>
      <c r="L153" s="6"/>
      <c r="M153" s="6"/>
      <c r="N153" s="6"/>
      <c r="O153" s="6"/>
      <c r="P153" s="6"/>
      <c r="Q153" s="6"/>
    </row>
    <row r="154" spans="1:17" ht="20.25" customHeight="1" x14ac:dyDescent="0.25">
      <c r="A154" s="6"/>
      <c r="B154" s="99" t="str">
        <f>IF(G19&gt;4,IF(F28=121,61.5+5,""),"")</f>
        <v/>
      </c>
      <c r="C154" s="94"/>
      <c r="D154" s="94"/>
      <c r="E154" s="94"/>
      <c r="F154" s="94"/>
      <c r="G154" s="94"/>
      <c r="H154" s="94"/>
      <c r="I154" s="6"/>
      <c r="J154" s="6"/>
      <c r="K154" s="6"/>
      <c r="L154" s="6"/>
      <c r="M154" s="6"/>
      <c r="N154" s="6"/>
      <c r="O154" s="6"/>
      <c r="P154" s="6"/>
      <c r="Q154" s="6"/>
    </row>
    <row r="155" spans="1:17" ht="20.25" customHeight="1" x14ac:dyDescent="0.25">
      <c r="A155" s="6"/>
      <c r="B155" s="99"/>
      <c r="C155" s="94"/>
      <c r="D155" s="94"/>
      <c r="E155" s="94"/>
      <c r="F155" s="94"/>
      <c r="G155" s="94"/>
      <c r="H155" s="94"/>
      <c r="I155" s="6"/>
      <c r="J155" s="6"/>
      <c r="K155" s="6"/>
      <c r="L155" s="6"/>
      <c r="M155" s="6"/>
      <c r="N155" s="6"/>
      <c r="O155" s="6"/>
      <c r="P155" s="6"/>
      <c r="Q155" s="6"/>
    </row>
    <row r="156" spans="1:17" ht="20.25" customHeight="1" x14ac:dyDescent="0.25">
      <c r="A156" s="6"/>
      <c r="B156" s="100" t="str">
        <f>IF(G19&gt;4,IF(OR(F28=185,F28=249),61.5+5,""),"")</f>
        <v/>
      </c>
      <c r="C156" s="94"/>
      <c r="D156" s="94"/>
      <c r="E156" s="94"/>
      <c r="F156" s="94"/>
      <c r="G156" s="94"/>
      <c r="H156" s="94"/>
      <c r="I156" s="6"/>
      <c r="J156" s="6"/>
      <c r="K156" s="6"/>
      <c r="L156" s="6"/>
      <c r="M156" s="6"/>
      <c r="N156" s="6"/>
      <c r="O156" s="6"/>
      <c r="P156" s="6"/>
      <c r="Q156" s="6"/>
    </row>
    <row r="157" spans="1:17" ht="20.25" customHeight="1" x14ac:dyDescent="0.25">
      <c r="A157" s="6"/>
      <c r="B157" s="100"/>
      <c r="C157" s="94"/>
      <c r="D157" s="94"/>
      <c r="E157" s="94"/>
      <c r="F157" s="94"/>
      <c r="G157" s="94"/>
      <c r="H157" s="94"/>
      <c r="I157" s="6"/>
      <c r="J157" s="6"/>
      <c r="K157" s="6"/>
      <c r="L157" s="6"/>
      <c r="M157" s="6"/>
      <c r="N157" s="6"/>
      <c r="O157" s="6"/>
      <c r="P157" s="6"/>
      <c r="Q157" s="6"/>
    </row>
    <row r="158" spans="1:17" ht="20.25" customHeight="1" x14ac:dyDescent="0.25">
      <c r="A158" s="6"/>
      <c r="B158" s="61"/>
      <c r="C158" s="94"/>
      <c r="D158" s="94"/>
      <c r="E158" s="94"/>
      <c r="F158" s="94"/>
      <c r="G158" s="94"/>
      <c r="H158" s="94"/>
      <c r="I158" s="6"/>
      <c r="J158" s="6"/>
      <c r="K158" s="6"/>
      <c r="L158" s="6"/>
      <c r="M158" s="6"/>
      <c r="N158" s="6"/>
      <c r="O158" s="6"/>
      <c r="P158" s="6"/>
      <c r="Q158" s="6"/>
    </row>
    <row r="159" spans="1:17" ht="20.25" customHeight="1" x14ac:dyDescent="0.25">
      <c r="A159" s="6"/>
      <c r="B159" s="61"/>
      <c r="C159" s="94"/>
      <c r="D159" s="94"/>
      <c r="E159" s="94"/>
      <c r="F159" s="94"/>
      <c r="G159" s="94"/>
      <c r="H159" s="94"/>
      <c r="I159" s="6"/>
      <c r="J159" s="6"/>
      <c r="K159" s="6"/>
      <c r="L159" s="6"/>
      <c r="M159" s="6"/>
      <c r="N159" s="6"/>
      <c r="O159" s="6"/>
      <c r="P159" s="6"/>
      <c r="Q159" s="6"/>
    </row>
    <row r="160" spans="1:17" ht="20.25" customHeight="1" x14ac:dyDescent="0.25">
      <c r="A160" s="6"/>
      <c r="B160" s="61"/>
      <c r="C160" s="94"/>
      <c r="D160" s="94"/>
      <c r="E160" s="94"/>
      <c r="F160" s="94"/>
      <c r="G160" s="94"/>
      <c r="H160" s="94"/>
      <c r="I160" s="6"/>
      <c r="J160" s="6"/>
      <c r="K160" s="6"/>
      <c r="L160" s="6"/>
      <c r="M160" s="6"/>
      <c r="N160" s="6"/>
      <c r="O160" s="6"/>
      <c r="P160" s="6"/>
      <c r="Q160" s="6"/>
    </row>
    <row r="161" spans="1:17" ht="20.25" customHeight="1" x14ac:dyDescent="0.25">
      <c r="A161" s="6"/>
      <c r="B161" s="61"/>
      <c r="C161" s="94"/>
      <c r="D161" s="94"/>
      <c r="E161" s="94"/>
      <c r="F161" s="94"/>
      <c r="G161" s="94"/>
      <c r="H161" s="94"/>
      <c r="I161" s="6"/>
      <c r="J161" s="6"/>
      <c r="K161" s="6"/>
      <c r="L161" s="6"/>
      <c r="M161" s="6"/>
      <c r="N161" s="6"/>
      <c r="O161" s="6"/>
      <c r="P161" s="6"/>
      <c r="Q161" s="6"/>
    </row>
    <row r="162" spans="1:17" ht="20.25" customHeight="1" x14ac:dyDescent="0.25">
      <c r="A162" s="6"/>
      <c r="B162" s="6"/>
      <c r="C162" s="6"/>
      <c r="D162" s="65" t="str">
        <f>IF(G19&gt;4,14.5+G13-G17,"")</f>
        <v/>
      </c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5">
      <c r="A163" s="6"/>
      <c r="B163" s="6"/>
      <c r="C163" s="6"/>
      <c r="D163" s="6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5"/>
    <row r="168" spans="1:17" x14ac:dyDescent="0.25"/>
    <row r="169" spans="1:17" x14ac:dyDescent="0.25"/>
    <row r="170" spans="1:17" x14ac:dyDescent="0.25"/>
    <row r="171" spans="1:17" x14ac:dyDescent="0.25"/>
    <row r="172" spans="1:17" x14ac:dyDescent="0.25"/>
    <row r="173" spans="1:17" x14ac:dyDescent="0.25"/>
    <row r="174" spans="1:17" x14ac:dyDescent="0.25"/>
    <row r="175" spans="1:17" x14ac:dyDescent="0.25"/>
    <row r="176" spans="1:17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</sheetData>
  <sheetProtection algorithmName="SHA-512" hashValue="benoUETil1md67r4TddgU3/1iZV4RjWeBYoVWauQgY7giE2azv1PEg/gdPDWovP9TnUkfV5/pFmyRPYeCErKfQ==" saltValue="OUsDDF6hFVz0d1UoF3YIYw==" spinCount="100000" sheet="1" objects="1" scenarios="1" selectLockedCells="1"/>
  <mergeCells count="67">
    <mergeCell ref="I147:I148"/>
    <mergeCell ref="Q116:Q117"/>
    <mergeCell ref="B118:B119"/>
    <mergeCell ref="B88:B89"/>
    <mergeCell ref="H25:H26"/>
    <mergeCell ref="E25:E26"/>
    <mergeCell ref="G25:G26"/>
    <mergeCell ref="C106:H130"/>
    <mergeCell ref="K106:P130"/>
    <mergeCell ref="I116:I117"/>
    <mergeCell ref="B90:B91"/>
    <mergeCell ref="I87:I88"/>
    <mergeCell ref="Q86:Q87"/>
    <mergeCell ref="C76:H100"/>
    <mergeCell ref="J90:J91"/>
    <mergeCell ref="B92:B93"/>
    <mergeCell ref="B95:B96"/>
    <mergeCell ref="B9:F9"/>
    <mergeCell ref="B10:F10"/>
    <mergeCell ref="B12:F12"/>
    <mergeCell ref="B13:F13"/>
    <mergeCell ref="B37:D38"/>
    <mergeCell ref="B14:F14"/>
    <mergeCell ref="B15:F15"/>
    <mergeCell ref="F25:F26"/>
    <mergeCell ref="B16:F16"/>
    <mergeCell ref="B17:F17"/>
    <mergeCell ref="B18:F18"/>
    <mergeCell ref="B11:G11"/>
    <mergeCell ref="M2:N3"/>
    <mergeCell ref="I31:K31"/>
    <mergeCell ref="I25:K26"/>
    <mergeCell ref="I27:K27"/>
    <mergeCell ref="I28:K28"/>
    <mergeCell ref="I29:K29"/>
    <mergeCell ref="I30:K30"/>
    <mergeCell ref="I5:K23"/>
    <mergeCell ref="A49:A64"/>
    <mergeCell ref="A27:A31"/>
    <mergeCell ref="B19:F19"/>
    <mergeCell ref="B20:F20"/>
    <mergeCell ref="B21:F21"/>
    <mergeCell ref="B22:F22"/>
    <mergeCell ref="B30:C30"/>
    <mergeCell ref="B31:C31"/>
    <mergeCell ref="B27:C27"/>
    <mergeCell ref="B28:C28"/>
    <mergeCell ref="B29:C29"/>
    <mergeCell ref="D25:D26"/>
    <mergeCell ref="B25:C26"/>
    <mergeCell ref="C137:H161"/>
    <mergeCell ref="B120:B121"/>
    <mergeCell ref="B122:B123"/>
    <mergeCell ref="B125:B126"/>
    <mergeCell ref="B154:B155"/>
    <mergeCell ref="B156:B157"/>
    <mergeCell ref="B151:B152"/>
    <mergeCell ref="B140:B141"/>
    <mergeCell ref="B149:B150"/>
    <mergeCell ref="J125:J126"/>
    <mergeCell ref="K76:P100"/>
    <mergeCell ref="E27:E31"/>
    <mergeCell ref="J95:J96"/>
    <mergeCell ref="J88:J89"/>
    <mergeCell ref="J118:J119"/>
    <mergeCell ref="J120:J121"/>
    <mergeCell ref="J122:J123"/>
  </mergeCells>
  <phoneticPr fontId="2" type="noConversion"/>
  <conditionalFormatting sqref="B21">
    <cfRule type="expression" dxfId="6" priority="10">
      <formula>B21=0</formula>
    </cfRule>
  </conditionalFormatting>
  <conditionalFormatting sqref="D27">
    <cfRule type="expression" dxfId="5" priority="6">
      <formula>AND($C$17&gt;4, $C$17&lt;6)</formula>
    </cfRule>
  </conditionalFormatting>
  <conditionalFormatting sqref="D28">
    <cfRule type="expression" dxfId="4" priority="7">
      <formula>AND($C$17&gt;3, $C$17&lt;6)</formula>
    </cfRule>
  </conditionalFormatting>
  <conditionalFormatting sqref="D29">
    <cfRule type="expression" dxfId="3" priority="8">
      <formula>AND($C$17&gt;2, $C$17&lt;6)</formula>
    </cfRule>
  </conditionalFormatting>
  <conditionalFormatting sqref="D30">
    <cfRule type="expression" dxfId="2" priority="5">
      <formula>AND($C$17&gt;0, $C$17&lt;6)</formula>
    </cfRule>
  </conditionalFormatting>
  <conditionalFormatting sqref="G21">
    <cfRule type="expression" dxfId="1" priority="1">
      <formula>B21=0</formula>
    </cfRule>
  </conditionalFormatting>
  <conditionalFormatting sqref="G22">
    <cfRule type="cellIs" dxfId="0" priority="4" operator="equal">
      <formula>0</formula>
    </cfRule>
    <cfRule type="colorScale" priority="11">
      <colorScale>
        <cfvo type="num" val="-0.1"/>
        <cfvo type="num" val="0"/>
        <cfvo type="num" val="1"/>
        <color rgb="FFFF0000"/>
        <color theme="9"/>
        <color rgb="FFFFFF00"/>
      </colorScale>
    </cfRule>
  </conditionalFormatting>
  <dataValidations xWindow="570" yWindow="565" count="26">
    <dataValidation type="whole" allowBlank="1" showInputMessage="1" showErrorMessage="1" error="MAX 1200" sqref="G9" xr:uid="{E518663F-2DB7-4605-AD79-BE18D4240378}">
      <formula1>50</formula1>
      <formula2>1200</formula2>
    </dataValidation>
    <dataValidation type="whole" allowBlank="1" showInputMessage="1" showErrorMessage="1" error="MAX 1200" sqref="G10" xr:uid="{E689F8E0-BBD8-44B5-ACAF-9E4DE261CCFF}">
      <formula1>200</formula1>
      <formula2>1200</formula2>
    </dataValidation>
    <dataValidation type="whole" allowBlank="1" showInputMessage="1" showErrorMessage="1" sqref="G12:G13" xr:uid="{0FA5613E-26A9-4F03-AAB3-29B52513298B}">
      <formula1>14</formula1>
      <formula2>22</formula2>
    </dataValidation>
    <dataValidation type="whole" operator="greaterThanOrEqual" allowBlank="1" showInputMessage="1" showErrorMessage="1" sqref="G14" xr:uid="{25CD28FC-6FF1-4530-8426-EF35ADDD13CE}">
      <formula1>0</formula1>
    </dataValidation>
    <dataValidation type="whole" allowBlank="1" showInputMessage="1" showErrorMessage="1" sqref="G15" xr:uid="{89E86C1C-9283-456B-A0C1-07D700B4DDD1}">
      <formula1>0</formula1>
      <formula2>10</formula2>
    </dataValidation>
    <dataValidation type="whole" allowBlank="1" showInputMessage="1" showErrorMessage="1" sqref="G21" xr:uid="{1687A6EA-0D92-4FAD-ABD1-A84044AA7180}">
      <formula1>5</formula1>
      <formula2>150</formula2>
    </dataValidation>
    <dataValidation type="list" operator="lessThan" allowBlank="1" showInputMessage="1" showErrorMessage="1" sqref="G18" xr:uid="{D997A030-BC16-4EFF-ACB6-CD640AD7D902}">
      <formula1>"300,350,400,450,500,550,600,650"</formula1>
    </dataValidation>
    <dataValidation type="list" allowBlank="1" showInputMessage="1" showErrorMessage="1" sqref="G19" xr:uid="{C0D3D3B8-9254-4841-8BB1-BD0C081E8B7D}">
      <formula1>"1,2,3,4,5"</formula1>
    </dataValidation>
    <dataValidation type="list" allowBlank="1" showInputMessage="1" showErrorMessage="1" sqref="E27" xr:uid="{9F1863E0-D9A9-4CCC-80FE-18C38427454B}">
      <formula1>$AA$5:$AA$7</formula1>
    </dataValidation>
    <dataValidation type="list" allowBlank="1" showInputMessage="1" showErrorMessage="1" sqref="F31" xr:uid="{8E246400-CAAF-42B0-84D8-6C7D1CAFE70D}">
      <formula1>IF(AB31=Y5,ČTYŘI_VÝŠKY,(IF(AB31=X5,TŘI_VÝŠKY,(IF(AB31=W5,DVĚ_VÝŠKY,JEDNA_VÝŠKA)))))</formula1>
    </dataValidation>
    <dataValidation type="list" allowBlank="1" showInputMessage="1" showErrorMessage="1" sqref="F30" xr:uid="{A83A4595-E574-4CFD-9394-5CE3333CC657}">
      <formula1>IF(AB30=Y5,ČTYŘI_VÝŠKY,(IF(AB30=X5,TŘI_VÝŠKY,(IF(AB30=W5,DVĚ_VÝŠKY,JEDNA_VÝŠKA)))))</formula1>
    </dataValidation>
    <dataValidation type="list" allowBlank="1" showInputMessage="1" showErrorMessage="1" sqref="F29" xr:uid="{FCF76CA8-806B-4548-AE9B-0D4D7F6AB480}">
      <formula1>IF(AB29=Y5,ČTYŘI_VÝŠKY,(IF(AB29=X5,TŘI_VÝŠKY,(IF(AB29=W5,DVĚ_VÝŠKY,JEDNA_VÝŠKA)))))</formula1>
    </dataValidation>
    <dataValidation type="list" allowBlank="1" showInputMessage="1" showErrorMessage="1" sqref="F28" xr:uid="{A0E48B4B-5C8D-49CE-8E5F-39AF897C125A}">
      <formula1>IF(AB28=Y5,ČTYŘI_VÝŠKY,(IF(AB28=X5,TŘI_VÝŠKY,(IF(AB28=W5,DVĚ_VÝŠKY,JEDNA_VÝŠKA)))))</formula1>
    </dataValidation>
    <dataValidation type="list" allowBlank="1" showInputMessage="1" showErrorMessage="1" sqref="F27" xr:uid="{D2B3BC7F-B380-448D-8DFB-C23DB8358BC0}">
      <formula1>IF(AB27=Y5,ČTYŘI_VÝŠKY,(IF(AB27=X5,TŘI_VÝŠKY,(IF(AB27=W5,DVĚ_VÝŠKY,JEDNA_VÝŠKA)))))</formula1>
    </dataValidation>
    <dataValidation type="list" allowBlank="1" showInputMessage="1" showErrorMessage="1" sqref="G20" xr:uid="{5E6DD6D4-6EBD-48AA-B11B-128DC8DFBA8F}">
      <formula1>$AG$5:$AG$6</formula1>
    </dataValidation>
    <dataValidation type="list" allowBlank="1" showInputMessage="1" showErrorMessage="1" sqref="G30" xr:uid="{07FF6064-6C95-4B54-9442-FD99993F5C40}">
      <formula1>IF($W$30=1,$AG$5:$AG$6,$AG$7)</formula1>
    </dataValidation>
    <dataValidation type="list" allowBlank="1" showInputMessage="1" showErrorMessage="1" sqref="G31" xr:uid="{4F8B83DE-AF65-47BA-ADD6-10D200BD6763}">
      <formula1>IF($W$31=1,$AG$5:$AG$6,$AG$7)</formula1>
    </dataValidation>
    <dataValidation type="list" allowBlank="1" showInputMessage="1" showErrorMessage="1" sqref="G29" xr:uid="{8A4F299F-E1C4-4953-991C-A5550AF633CA}">
      <formula1>IF($W$29=1,$AG$5:$AG$6,$AG$7)</formula1>
    </dataValidation>
    <dataValidation type="list" allowBlank="1" showInputMessage="1" showErrorMessage="1" sqref="G28" xr:uid="{751C37C6-D810-4B02-8B65-474D69146E77}">
      <formula1>IF($W$28=1,$AG$5:$AG$6,$AG$7)</formula1>
    </dataValidation>
    <dataValidation type="list" allowBlank="1" showInputMessage="1" showErrorMessage="1" sqref="G27" xr:uid="{DACC8CC7-0DE6-4E60-93A9-E2AF91A2C511}">
      <formula1>IF($W$27=1,$AG$5:$AG$6,$AG$7)</formula1>
    </dataValidation>
    <dataValidation type="whole" allowBlank="1" showInputMessage="1" showErrorMessage="1" sqref="G16:G17" xr:uid="{664F3C84-225F-4E6B-B502-46D01F54D076}">
      <formula1>0</formula1>
      <formula2>18</formula2>
    </dataValidation>
    <dataValidation type="whole" allowBlank="1" showInputMessage="1" showErrorMessage="1" error="Min 113" sqref="D30" xr:uid="{F6C0E131-10D7-46BF-B813-A680A7969C97}">
      <formula1>113</formula1>
      <formula2>1000</formula2>
    </dataValidation>
    <dataValidation type="whole" allowBlank="1" showInputMessage="1" showErrorMessage="1" error="Min 113" sqref="D28" xr:uid="{78C31E37-3572-4E3D-A9A6-C59ACC19ECDD}">
      <formula1>IF(G19=4,113+G12-G14,113)</formula1>
      <formula2>1000</formula2>
    </dataValidation>
    <dataValidation type="whole" allowBlank="1" showInputMessage="1" showErrorMessage="1" error="Min 113 + C - G" sqref="D31" xr:uid="{022762CA-2340-4675-8446-E70B98697301}">
      <formula1>113+(G12-G16)</formula1>
      <formula2>1000</formula2>
    </dataValidation>
    <dataValidation type="whole" allowBlank="1" showInputMessage="1" showErrorMessage="1" error="Min 113" sqref="D29" xr:uid="{0A19357C-3E16-489C-88C4-50B021F3DB59}">
      <formula1>IF(G19=3,113+G12-G14,113)</formula1>
      <formula2>1000</formula2>
    </dataValidation>
    <dataValidation type="whole" allowBlank="1" showInputMessage="1" showErrorMessage="1" error="Min 113" sqref="D27" xr:uid="{F3A1481F-249E-4E4D-A098-092C043B035B}">
      <formula1>113+G12-G14</formula1>
      <formula2>1000</formula2>
    </dataValidation>
  </dataValidations>
  <hyperlinks>
    <hyperlink ref="Q2:T3" location="Hlavní!A1" display="Hlavní!A1" xr:uid="{3C1D7B13-4849-4E99-B596-60A26C96A3A3}"/>
    <hyperlink ref="B37:D38" location="Menu!A1" display="Menu!A1" xr:uid="{B54D093E-7515-48CD-8E33-D07FB099BAB7}"/>
    <hyperlink ref="M2:N3" location="Úvod!A1" display="Úvod!A1" xr:uid="{DB9D369E-C7E6-46FA-B672-02893BEF188B}"/>
  </hyperlinks>
  <printOptions verticalCentered="1"/>
  <pageMargins left="3.937007874015748E-2" right="3.937007874015748E-2" top="3.937007874015748E-2" bottom="3.937007874015748E-2" header="0" footer="0"/>
  <pageSetup paperSize="9" scale="120" orientation="landscape" verticalDpi="6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22F5-FEC0-4D00-8703-4C694FB08934}">
  <dimension ref="A2:AE49"/>
  <sheetViews>
    <sheetView showGridLines="0" zoomScale="70" zoomScaleNormal="70" workbookViewId="0">
      <selection activeCell="A16" sqref="A16"/>
    </sheetView>
  </sheetViews>
  <sheetFormatPr defaultRowHeight="15" x14ac:dyDescent="0.25"/>
  <cols>
    <col min="30" max="30" width="7.85546875" customWidth="1"/>
    <col min="31" max="31" width="16.85546875" customWidth="1"/>
  </cols>
  <sheetData>
    <row r="2" spans="1:31" x14ac:dyDescent="0.25">
      <c r="B2">
        <v>89</v>
      </c>
      <c r="C2" t="e" vm="2">
        <v>#VALUE!</v>
      </c>
    </row>
    <row r="3" spans="1:31" x14ac:dyDescent="0.25">
      <c r="B3">
        <v>121</v>
      </c>
      <c r="C3" t="e" vm="3">
        <v>#VALUE!</v>
      </c>
    </row>
    <row r="4" spans="1:31" x14ac:dyDescent="0.25">
      <c r="B4">
        <v>185</v>
      </c>
      <c r="C4" t="e" vm="4">
        <v>#VALUE!</v>
      </c>
    </row>
    <row r="5" spans="1:31" x14ac:dyDescent="0.25">
      <c r="B5">
        <v>249</v>
      </c>
      <c r="C5" t="e" vm="5">
        <v>#VALUE!</v>
      </c>
    </row>
    <row r="7" spans="1:31" ht="14.25" customHeight="1" x14ac:dyDescent="0.25">
      <c r="AE7" s="26"/>
    </row>
    <row r="8" spans="1:31" ht="14.25" customHeight="1" x14ac:dyDescent="0.25">
      <c r="AE8" s="27"/>
    </row>
    <row r="9" spans="1:31" ht="14.25" customHeight="1" x14ac:dyDescent="0.25">
      <c r="A9">
        <v>1</v>
      </c>
      <c r="B9" t="s">
        <v>0</v>
      </c>
      <c r="C9" t="e" vm="6">
        <v>#VALUE!</v>
      </c>
      <c r="AE9" s="26"/>
    </row>
    <row r="10" spans="1:31" ht="14.25" customHeight="1" x14ac:dyDescent="0.25">
      <c r="A10">
        <v>2</v>
      </c>
      <c r="B10" t="s">
        <v>1</v>
      </c>
      <c r="C10" t="e" vm="6">
        <v>#VALUE!</v>
      </c>
      <c r="AE10" s="27"/>
    </row>
    <row r="11" spans="1:31" ht="14.25" customHeight="1" x14ac:dyDescent="0.25">
      <c r="A11">
        <v>3</v>
      </c>
      <c r="B11" t="s">
        <v>2</v>
      </c>
      <c r="C11" t="e" vm="7">
        <v>#VALUE!</v>
      </c>
      <c r="AE11" s="26"/>
    </row>
    <row r="12" spans="1:31" ht="14.25" customHeight="1" x14ac:dyDescent="0.25">
      <c r="A12">
        <v>4</v>
      </c>
      <c r="B12" t="s">
        <v>3</v>
      </c>
      <c r="C12" t="e" vm="8">
        <v>#VALUE!</v>
      </c>
      <c r="AE12" s="25"/>
    </row>
    <row r="13" spans="1:31" ht="14.25" customHeight="1" x14ac:dyDescent="0.25">
      <c r="A13">
        <v>5</v>
      </c>
      <c r="B13" t="s">
        <v>4</v>
      </c>
      <c r="C13" t="e" vm="9">
        <v>#VALUE!</v>
      </c>
      <c r="AE13" s="28"/>
    </row>
    <row r="14" spans="1:31" ht="14.25" customHeight="1" x14ac:dyDescent="0.25">
      <c r="A14">
        <v>6</v>
      </c>
      <c r="B14" t="s">
        <v>782</v>
      </c>
      <c r="C14" t="e" vm="10">
        <v>#VALUE!</v>
      </c>
      <c r="AE14" s="27"/>
    </row>
    <row r="15" spans="1:31" ht="14.25" customHeight="1" x14ac:dyDescent="0.25">
      <c r="A15">
        <v>7</v>
      </c>
      <c r="B15" t="s">
        <v>783</v>
      </c>
      <c r="C15" t="e" vm="11">
        <v>#VALUE!</v>
      </c>
      <c r="AE15" s="26"/>
    </row>
    <row r="16" spans="1:31" x14ac:dyDescent="0.25">
      <c r="AE16" s="27"/>
    </row>
    <row r="17" spans="3:31" x14ac:dyDescent="0.25">
      <c r="C17" s="2"/>
      <c r="AE17" s="27"/>
    </row>
    <row r="18" spans="3:31" x14ac:dyDescent="0.25">
      <c r="AE18" s="27"/>
    </row>
    <row r="19" spans="3:31" x14ac:dyDescent="0.25">
      <c r="AE19" s="27"/>
    </row>
    <row r="20" spans="3:31" x14ac:dyDescent="0.25">
      <c r="AE20" s="27"/>
    </row>
    <row r="21" spans="3:31" x14ac:dyDescent="0.25">
      <c r="AE21" s="27"/>
    </row>
    <row r="26" spans="3:31" x14ac:dyDescent="0.25">
      <c r="D26" s="24"/>
    </row>
    <row r="44" spans="30:30" x14ac:dyDescent="0.25">
      <c r="AD44" s="2"/>
    </row>
    <row r="49" spans="31:31" x14ac:dyDescent="0.25">
      <c r="AE49" s="29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8DF1-249B-4F57-85A8-C987E8218659}">
  <sheetPr codeName="List7"/>
  <dimension ref="B1:Q100"/>
  <sheetViews>
    <sheetView workbookViewId="0"/>
  </sheetViews>
  <sheetFormatPr defaultRowHeight="15" x14ac:dyDescent="0.25"/>
  <cols>
    <col min="2" max="2" width="56.42578125" customWidth="1"/>
    <col min="4" max="4" width="38.5703125" customWidth="1"/>
    <col min="11" max="11" width="15.28515625" customWidth="1"/>
    <col min="12" max="12" width="18" customWidth="1"/>
    <col min="15" max="15" width="31.7109375" customWidth="1"/>
    <col min="16" max="16" width="14.140625" bestFit="1" customWidth="1"/>
    <col min="17" max="17" width="13.42578125" bestFit="1" customWidth="1"/>
  </cols>
  <sheetData>
    <row r="1" spans="2:17" x14ac:dyDescent="0.25">
      <c r="D1">
        <f>Překlady!D1</f>
        <v>2</v>
      </c>
    </row>
    <row r="2" spans="2:17" x14ac:dyDescent="0.25">
      <c r="C2" s="3" t="s">
        <v>134</v>
      </c>
      <c r="D2" s="3" t="s">
        <v>0</v>
      </c>
      <c r="E2" t="s">
        <v>1</v>
      </c>
      <c r="F2" t="s">
        <v>2</v>
      </c>
      <c r="G2" t="s">
        <v>3</v>
      </c>
      <c r="H2" t="s">
        <v>4</v>
      </c>
      <c r="I2" s="3" t="s">
        <v>327</v>
      </c>
      <c r="K2" t="s">
        <v>581</v>
      </c>
      <c r="L2" t="s">
        <v>573</v>
      </c>
      <c r="M2" t="s">
        <v>584</v>
      </c>
      <c r="N2" t="s">
        <v>585</v>
      </c>
      <c r="O2" s="6" t="s">
        <v>607</v>
      </c>
    </row>
    <row r="3" spans="2:17" x14ac:dyDescent="0.25">
      <c r="B3" t="str">
        <f>IF($D$1=1,D:D,IF($D$1=2,E:E,IF($D$1=3,F:F,IF($D$1=4,G:G,IF($D$1=5,H:H)))))</f>
        <v>K-StrongMax 18 89/300mm 40kg, tmavosivá</v>
      </c>
      <c r="C3" s="3" t="s">
        <v>135</v>
      </c>
      <c r="D3" s="4" t="s">
        <v>39</v>
      </c>
      <c r="E3" s="3" t="s">
        <v>232</v>
      </c>
      <c r="F3" s="3" t="s">
        <v>328</v>
      </c>
      <c r="G3" s="3" t="s">
        <v>403</v>
      </c>
      <c r="H3" s="3" t="s">
        <v>478</v>
      </c>
      <c r="I3" s="3" t="s">
        <v>38</v>
      </c>
      <c r="K3">
        <v>89</v>
      </c>
      <c r="L3" t="str">
        <f>Překlady!$C$33</f>
        <v>Tmavo sivá</v>
      </c>
      <c r="M3" t="s">
        <v>27</v>
      </c>
      <c r="N3">
        <v>300</v>
      </c>
      <c r="O3" s="5" t="str">
        <f>_xlfn.CONCAT(L3,"_sklo_",M3,"_",K3,"_",N3)</f>
        <v>Tmavo sivá_sklo_ne_89_300</v>
      </c>
      <c r="P3" s="3" t="s">
        <v>135</v>
      </c>
      <c r="Q3" t="str">
        <f>B3</f>
        <v>K-StrongMax 18 89/300mm 40kg, tmavosivá</v>
      </c>
    </row>
    <row r="4" spans="2:17" x14ac:dyDescent="0.25">
      <c r="B4" t="str">
        <f t="shared" ref="B4:B67" si="0">IF($D$1=1,D:D,IF($D$1=2,E:E,IF($D$1=3,F:F,IF($D$1=4,G:G,IF($D$1=5,H:H)))))</f>
        <v>K-StrongMax 18 89/350mm 40kg, tmavosivá</v>
      </c>
      <c r="C4" s="3" t="s">
        <v>136</v>
      </c>
      <c r="D4" s="3" t="s">
        <v>40</v>
      </c>
      <c r="E4" s="3" t="s">
        <v>233</v>
      </c>
      <c r="F4" s="3" t="s">
        <v>329</v>
      </c>
      <c r="G4" s="3" t="s">
        <v>404</v>
      </c>
      <c r="H4" s="3" t="s">
        <v>479</v>
      </c>
      <c r="I4" s="3" t="s">
        <v>36</v>
      </c>
      <c r="K4">
        <v>89</v>
      </c>
      <c r="L4" t="str">
        <f>Překlady!$C$33</f>
        <v>Tmavo sivá</v>
      </c>
      <c r="M4" t="s">
        <v>27</v>
      </c>
      <c r="N4">
        <v>350</v>
      </c>
      <c r="O4" s="5" t="str">
        <f t="shared" ref="O4:O67" si="1">_xlfn.CONCAT(L4,"_sklo_",M4,"_",K4,"_",N4)</f>
        <v>Tmavo sivá_sklo_ne_89_350</v>
      </c>
      <c r="P4" s="3" t="s">
        <v>136</v>
      </c>
      <c r="Q4" t="str">
        <f t="shared" ref="Q4:Q67" si="2">B4</f>
        <v>K-StrongMax 18 89/350mm 40kg, tmavosivá</v>
      </c>
    </row>
    <row r="5" spans="2:17" x14ac:dyDescent="0.25">
      <c r="B5" t="str">
        <f t="shared" si="0"/>
        <v>K-StrongMax 18 89/400mm 40kg, tmavosivá</v>
      </c>
      <c r="C5" s="3" t="s">
        <v>137</v>
      </c>
      <c r="D5" s="3" t="s">
        <v>41</v>
      </c>
      <c r="E5" s="3" t="s">
        <v>234</v>
      </c>
      <c r="F5" s="3" t="s">
        <v>330</v>
      </c>
      <c r="G5" s="3" t="s">
        <v>405</v>
      </c>
      <c r="H5" s="3" t="s">
        <v>480</v>
      </c>
      <c r="I5" s="3" t="s">
        <v>36</v>
      </c>
      <c r="K5">
        <v>89</v>
      </c>
      <c r="L5" t="str">
        <f>Překlady!$C$33</f>
        <v>Tmavo sivá</v>
      </c>
      <c r="M5" t="s">
        <v>27</v>
      </c>
      <c r="N5">
        <v>400</v>
      </c>
      <c r="O5" s="5" t="str">
        <f t="shared" si="1"/>
        <v>Tmavo sivá_sklo_ne_89_400</v>
      </c>
      <c r="P5" s="3" t="s">
        <v>137</v>
      </c>
      <c r="Q5" t="str">
        <f t="shared" si="2"/>
        <v>K-StrongMax 18 89/400mm 40kg, tmavosivá</v>
      </c>
    </row>
    <row r="6" spans="2:17" x14ac:dyDescent="0.25">
      <c r="B6" t="str">
        <f t="shared" si="0"/>
        <v>K-StrongMax 18 89/450mm 40kg, tmavosivá</v>
      </c>
      <c r="C6" s="3" t="s">
        <v>138</v>
      </c>
      <c r="D6" s="3" t="s">
        <v>42</v>
      </c>
      <c r="E6" s="3" t="s">
        <v>235</v>
      </c>
      <c r="F6" s="3" t="s">
        <v>331</v>
      </c>
      <c r="G6" s="3" t="s">
        <v>406</v>
      </c>
      <c r="H6" s="3" t="s">
        <v>481</v>
      </c>
      <c r="I6" s="3" t="s">
        <v>36</v>
      </c>
      <c r="K6">
        <v>89</v>
      </c>
      <c r="L6" t="str">
        <f>Překlady!$C$33</f>
        <v>Tmavo sivá</v>
      </c>
      <c r="M6" t="s">
        <v>27</v>
      </c>
      <c r="N6">
        <v>450</v>
      </c>
      <c r="O6" s="5" t="str">
        <f t="shared" si="1"/>
        <v>Tmavo sivá_sklo_ne_89_450</v>
      </c>
      <c r="P6" s="3" t="s">
        <v>138</v>
      </c>
      <c r="Q6" t="str">
        <f t="shared" si="2"/>
        <v>K-StrongMax 18 89/450mm 40kg, tmavosivá</v>
      </c>
    </row>
    <row r="7" spans="2:17" x14ac:dyDescent="0.25">
      <c r="B7" t="str">
        <f t="shared" si="0"/>
        <v>K-StrongMax 18 89/500mm 40kg, tmavosivá</v>
      </c>
      <c r="C7" s="3" t="s">
        <v>139</v>
      </c>
      <c r="D7" s="3" t="s">
        <v>43</v>
      </c>
      <c r="E7" s="3" t="s">
        <v>236</v>
      </c>
      <c r="F7" s="3" t="s">
        <v>332</v>
      </c>
      <c r="G7" s="3" t="s">
        <v>407</v>
      </c>
      <c r="H7" s="3" t="s">
        <v>482</v>
      </c>
      <c r="I7" s="3" t="s">
        <v>36</v>
      </c>
      <c r="K7">
        <v>89</v>
      </c>
      <c r="L7" t="str">
        <f>Překlady!$C$33</f>
        <v>Tmavo sivá</v>
      </c>
      <c r="M7" t="s">
        <v>27</v>
      </c>
      <c r="N7">
        <v>500</v>
      </c>
      <c r="O7" s="5" t="str">
        <f t="shared" si="1"/>
        <v>Tmavo sivá_sklo_ne_89_500</v>
      </c>
      <c r="P7" s="3" t="s">
        <v>139</v>
      </c>
      <c r="Q7" t="str">
        <f t="shared" si="2"/>
        <v>K-StrongMax 18 89/500mm 40kg, tmavosivá</v>
      </c>
    </row>
    <row r="8" spans="2:17" x14ac:dyDescent="0.25">
      <c r="B8" t="str">
        <f t="shared" si="0"/>
        <v>K-StrongMax 18 89/550mm 40kg, tmavosivá</v>
      </c>
      <c r="C8" s="3" t="s">
        <v>140</v>
      </c>
      <c r="D8" s="3" t="s">
        <v>44</v>
      </c>
      <c r="E8" s="3" t="s">
        <v>237</v>
      </c>
      <c r="F8" s="3" t="s">
        <v>333</v>
      </c>
      <c r="G8" s="3" t="s">
        <v>408</v>
      </c>
      <c r="H8" s="3" t="s">
        <v>483</v>
      </c>
      <c r="I8" s="3" t="s">
        <v>36</v>
      </c>
      <c r="K8">
        <v>89</v>
      </c>
      <c r="L8" t="str">
        <f>Překlady!$C$33</f>
        <v>Tmavo sivá</v>
      </c>
      <c r="M8" t="s">
        <v>27</v>
      </c>
      <c r="N8">
        <v>550</v>
      </c>
      <c r="O8" s="5" t="str">
        <f t="shared" si="1"/>
        <v>Tmavo sivá_sklo_ne_89_550</v>
      </c>
      <c r="P8" s="3" t="s">
        <v>140</v>
      </c>
      <c r="Q8" t="str">
        <f t="shared" si="2"/>
        <v>K-StrongMax 18 89/550mm 40kg, tmavosivá</v>
      </c>
    </row>
    <row r="9" spans="2:17" x14ac:dyDescent="0.25">
      <c r="B9" t="str">
        <f t="shared" si="0"/>
        <v>K-StrongMax 18 89/600mm 40kg, tmavosivá</v>
      </c>
      <c r="C9" s="3" t="s">
        <v>141</v>
      </c>
      <c r="D9" s="3" t="s">
        <v>45</v>
      </c>
      <c r="E9" s="3" t="s">
        <v>238</v>
      </c>
      <c r="F9" s="3" t="s">
        <v>334</v>
      </c>
      <c r="G9" s="3" t="s">
        <v>409</v>
      </c>
      <c r="H9" s="3" t="s">
        <v>484</v>
      </c>
      <c r="I9" s="3" t="s">
        <v>38</v>
      </c>
      <c r="K9">
        <v>89</v>
      </c>
      <c r="L9" t="str">
        <f>Překlady!$C$33</f>
        <v>Tmavo sivá</v>
      </c>
      <c r="M9" t="s">
        <v>27</v>
      </c>
      <c r="N9">
        <v>600</v>
      </c>
      <c r="O9" s="5" t="str">
        <f t="shared" si="1"/>
        <v>Tmavo sivá_sklo_ne_89_600</v>
      </c>
      <c r="P9" s="3" t="s">
        <v>141</v>
      </c>
      <c r="Q9" t="str">
        <f t="shared" si="2"/>
        <v>K-StrongMax 18 89/600mm 40kg, tmavosivá</v>
      </c>
    </row>
    <row r="10" spans="2:17" x14ac:dyDescent="0.25">
      <c r="B10" t="str">
        <f t="shared" si="0"/>
        <v>K-StrongMax 18 89/650mm 40kg, tmavosivá</v>
      </c>
      <c r="C10" s="3" t="s">
        <v>142</v>
      </c>
      <c r="D10" s="3" t="s">
        <v>46</v>
      </c>
      <c r="E10" s="3" t="s">
        <v>239</v>
      </c>
      <c r="F10" s="3" t="s">
        <v>335</v>
      </c>
      <c r="G10" s="3" t="s">
        <v>410</v>
      </c>
      <c r="H10" s="3" t="s">
        <v>485</v>
      </c>
      <c r="I10" s="3" t="s">
        <v>38</v>
      </c>
      <c r="K10">
        <v>89</v>
      </c>
      <c r="L10" t="str">
        <f>Překlady!$C$33</f>
        <v>Tmavo sivá</v>
      </c>
      <c r="M10" t="s">
        <v>27</v>
      </c>
      <c r="N10">
        <v>650</v>
      </c>
      <c r="O10" s="5" t="str">
        <f t="shared" si="1"/>
        <v>Tmavo sivá_sklo_ne_89_650</v>
      </c>
      <c r="P10" s="3" t="s">
        <v>142</v>
      </c>
      <c r="Q10" t="str">
        <f t="shared" si="2"/>
        <v>K-StrongMax 18 89/650mm 40kg, tmavosivá</v>
      </c>
    </row>
    <row r="11" spans="2:17" x14ac:dyDescent="0.25">
      <c r="B11" t="str">
        <f t="shared" si="0"/>
        <v>K-StrongMax 18 121/300mm 40kg, tmavosivá</v>
      </c>
      <c r="C11" s="3" t="s">
        <v>143</v>
      </c>
      <c r="D11" s="3" t="s">
        <v>47</v>
      </c>
      <c r="E11" s="3" t="s">
        <v>240</v>
      </c>
      <c r="F11" s="3" t="s">
        <v>336</v>
      </c>
      <c r="G11" s="3" t="s">
        <v>411</v>
      </c>
      <c r="H11" s="3" t="s">
        <v>486</v>
      </c>
      <c r="I11" s="3" t="s">
        <v>36</v>
      </c>
      <c r="K11">
        <v>121</v>
      </c>
      <c r="L11" t="str">
        <f>Překlady!$C$33</f>
        <v>Tmavo sivá</v>
      </c>
      <c r="M11" t="s">
        <v>27</v>
      </c>
      <c r="N11">
        <v>300</v>
      </c>
      <c r="O11" s="5" t="str">
        <f t="shared" si="1"/>
        <v>Tmavo sivá_sklo_ne_121_300</v>
      </c>
      <c r="P11" s="3" t="s">
        <v>143</v>
      </c>
      <c r="Q11" t="str">
        <f t="shared" si="2"/>
        <v>K-StrongMax 18 121/300mm 40kg, tmavosivá</v>
      </c>
    </row>
    <row r="12" spans="2:17" x14ac:dyDescent="0.25">
      <c r="B12" t="str">
        <f t="shared" si="0"/>
        <v>K-StrongMax 18 121/350mm 40kg, tmavosivá</v>
      </c>
      <c r="C12" s="3" t="s">
        <v>144</v>
      </c>
      <c r="D12" s="3" t="s">
        <v>48</v>
      </c>
      <c r="E12" s="3" t="s">
        <v>241</v>
      </c>
      <c r="F12" s="3" t="s">
        <v>337</v>
      </c>
      <c r="G12" s="3" t="s">
        <v>412</v>
      </c>
      <c r="H12" s="3" t="s">
        <v>487</v>
      </c>
      <c r="I12" s="3" t="s">
        <v>36</v>
      </c>
      <c r="K12">
        <v>121</v>
      </c>
      <c r="L12" t="str">
        <f>Překlady!$C$33</f>
        <v>Tmavo sivá</v>
      </c>
      <c r="M12" t="s">
        <v>27</v>
      </c>
      <c r="N12">
        <v>350</v>
      </c>
      <c r="O12" s="5" t="str">
        <f t="shared" si="1"/>
        <v>Tmavo sivá_sklo_ne_121_350</v>
      </c>
      <c r="P12" s="3" t="s">
        <v>144</v>
      </c>
      <c r="Q12" t="str">
        <f t="shared" si="2"/>
        <v>K-StrongMax 18 121/350mm 40kg, tmavosivá</v>
      </c>
    </row>
    <row r="13" spans="2:17" x14ac:dyDescent="0.25">
      <c r="B13" t="str">
        <f t="shared" si="0"/>
        <v>K-StrongMax 18 121/400mm 40kg, tmavosivá</v>
      </c>
      <c r="C13" s="3" t="s">
        <v>145</v>
      </c>
      <c r="D13" s="3" t="s">
        <v>49</v>
      </c>
      <c r="E13" s="3" t="s">
        <v>242</v>
      </c>
      <c r="F13" s="3" t="s">
        <v>338</v>
      </c>
      <c r="G13" s="3" t="s">
        <v>413</v>
      </c>
      <c r="H13" s="3" t="s">
        <v>488</v>
      </c>
      <c r="I13" s="3" t="s">
        <v>36</v>
      </c>
      <c r="K13">
        <v>121</v>
      </c>
      <c r="L13" t="str">
        <f>Překlady!$C$33</f>
        <v>Tmavo sivá</v>
      </c>
      <c r="M13" t="s">
        <v>27</v>
      </c>
      <c r="N13">
        <v>400</v>
      </c>
      <c r="O13" s="5" t="str">
        <f t="shared" si="1"/>
        <v>Tmavo sivá_sklo_ne_121_400</v>
      </c>
      <c r="P13" s="3" t="s">
        <v>145</v>
      </c>
      <c r="Q13" t="str">
        <f t="shared" si="2"/>
        <v>K-StrongMax 18 121/400mm 40kg, tmavosivá</v>
      </c>
    </row>
    <row r="14" spans="2:17" x14ac:dyDescent="0.25">
      <c r="B14" t="str">
        <f t="shared" si="0"/>
        <v>K-StrongMax 18 121/450mm 40kg, tmavosivá</v>
      </c>
      <c r="C14" s="3" t="s">
        <v>146</v>
      </c>
      <c r="D14" s="3" t="s">
        <v>50</v>
      </c>
      <c r="E14" s="3" t="s">
        <v>243</v>
      </c>
      <c r="F14" s="3" t="s">
        <v>339</v>
      </c>
      <c r="G14" s="3" t="s">
        <v>414</v>
      </c>
      <c r="H14" s="3" t="s">
        <v>489</v>
      </c>
      <c r="I14" s="3" t="s">
        <v>38</v>
      </c>
      <c r="K14">
        <v>121</v>
      </c>
      <c r="L14" t="str">
        <f>Překlady!$C$33</f>
        <v>Tmavo sivá</v>
      </c>
      <c r="M14" t="s">
        <v>27</v>
      </c>
      <c r="N14">
        <v>450</v>
      </c>
      <c r="O14" s="5" t="str">
        <f t="shared" si="1"/>
        <v>Tmavo sivá_sklo_ne_121_450</v>
      </c>
      <c r="P14" s="3" t="s">
        <v>146</v>
      </c>
      <c r="Q14" t="str">
        <f t="shared" si="2"/>
        <v>K-StrongMax 18 121/450mm 40kg, tmavosivá</v>
      </c>
    </row>
    <row r="15" spans="2:17" x14ac:dyDescent="0.25">
      <c r="B15" t="str">
        <f t="shared" si="0"/>
        <v>K-StrongMax 18 121/500mm 40kg, tmavosivá</v>
      </c>
      <c r="C15" s="3" t="s">
        <v>147</v>
      </c>
      <c r="D15" s="3" t="s">
        <v>51</v>
      </c>
      <c r="E15" s="3" t="s">
        <v>244</v>
      </c>
      <c r="F15" s="3" t="s">
        <v>340</v>
      </c>
      <c r="G15" s="3" t="s">
        <v>415</v>
      </c>
      <c r="H15" s="3" t="s">
        <v>490</v>
      </c>
      <c r="I15" s="3" t="s">
        <v>36</v>
      </c>
      <c r="K15">
        <v>121</v>
      </c>
      <c r="L15" t="str">
        <f>Překlady!$C$33</f>
        <v>Tmavo sivá</v>
      </c>
      <c r="M15" t="s">
        <v>27</v>
      </c>
      <c r="N15">
        <v>500</v>
      </c>
      <c r="O15" s="5" t="str">
        <f t="shared" si="1"/>
        <v>Tmavo sivá_sklo_ne_121_500</v>
      </c>
      <c r="P15" s="3" t="s">
        <v>147</v>
      </c>
      <c r="Q15" t="str">
        <f t="shared" si="2"/>
        <v>K-StrongMax 18 121/500mm 40kg, tmavosivá</v>
      </c>
    </row>
    <row r="16" spans="2:17" x14ac:dyDescent="0.25">
      <c r="B16" t="str">
        <f t="shared" si="0"/>
        <v>K-StrongMax 18 121/550mm 40kg, tmavosivá</v>
      </c>
      <c r="C16" s="3" t="s">
        <v>148</v>
      </c>
      <c r="D16" s="3" t="s">
        <v>52</v>
      </c>
      <c r="E16" s="3" t="s">
        <v>245</v>
      </c>
      <c r="F16" s="3" t="s">
        <v>341</v>
      </c>
      <c r="G16" s="3" t="s">
        <v>416</v>
      </c>
      <c r="H16" s="3" t="s">
        <v>491</v>
      </c>
      <c r="I16" s="3" t="s">
        <v>36</v>
      </c>
      <c r="K16">
        <v>121</v>
      </c>
      <c r="L16" t="str">
        <f>Překlady!$C$33</f>
        <v>Tmavo sivá</v>
      </c>
      <c r="M16" t="s">
        <v>27</v>
      </c>
      <c r="N16">
        <v>550</v>
      </c>
      <c r="O16" s="5" t="str">
        <f t="shared" si="1"/>
        <v>Tmavo sivá_sklo_ne_121_550</v>
      </c>
      <c r="P16" s="3" t="s">
        <v>148</v>
      </c>
      <c r="Q16" t="str">
        <f t="shared" si="2"/>
        <v>K-StrongMax 18 121/550mm 40kg, tmavosivá</v>
      </c>
    </row>
    <row r="17" spans="2:17" x14ac:dyDescent="0.25">
      <c r="B17" t="str">
        <f t="shared" si="0"/>
        <v>K-StrongMax 18 121/600mm 40kg, tmavosivá</v>
      </c>
      <c r="C17" s="3" t="s">
        <v>149</v>
      </c>
      <c r="D17" s="3" t="s">
        <v>53</v>
      </c>
      <c r="E17" s="3" t="s">
        <v>246</v>
      </c>
      <c r="F17" s="3" t="s">
        <v>342</v>
      </c>
      <c r="G17" s="3" t="s">
        <v>417</v>
      </c>
      <c r="H17" s="3" t="s">
        <v>492</v>
      </c>
      <c r="I17" s="3" t="s">
        <v>36</v>
      </c>
      <c r="K17">
        <v>121</v>
      </c>
      <c r="L17" t="str">
        <f>Překlady!$C$33</f>
        <v>Tmavo sivá</v>
      </c>
      <c r="M17" t="s">
        <v>27</v>
      </c>
      <c r="N17">
        <v>600</v>
      </c>
      <c r="O17" s="5" t="str">
        <f t="shared" si="1"/>
        <v>Tmavo sivá_sklo_ne_121_600</v>
      </c>
      <c r="P17" s="3" t="s">
        <v>149</v>
      </c>
      <c r="Q17" t="str">
        <f t="shared" si="2"/>
        <v>K-StrongMax 18 121/600mm 40kg, tmavosivá</v>
      </c>
    </row>
    <row r="18" spans="2:17" x14ac:dyDescent="0.25">
      <c r="B18" t="str">
        <f t="shared" si="0"/>
        <v>K-StrongMax 18 121/650mm 40kg, tmavosivá</v>
      </c>
      <c r="C18" s="3" t="s">
        <v>150</v>
      </c>
      <c r="D18" s="3" t="s">
        <v>54</v>
      </c>
      <c r="E18" s="3" t="s">
        <v>247</v>
      </c>
      <c r="F18" s="3" t="s">
        <v>343</v>
      </c>
      <c r="G18" s="3" t="s">
        <v>418</v>
      </c>
      <c r="H18" s="3" t="s">
        <v>493</v>
      </c>
      <c r="I18" s="3" t="s">
        <v>38</v>
      </c>
      <c r="K18">
        <v>121</v>
      </c>
      <c r="L18" t="str">
        <f>Překlady!$C$33</f>
        <v>Tmavo sivá</v>
      </c>
      <c r="M18" t="s">
        <v>27</v>
      </c>
      <c r="N18">
        <v>650</v>
      </c>
      <c r="O18" s="5" t="str">
        <f t="shared" si="1"/>
        <v>Tmavo sivá_sklo_ne_121_650</v>
      </c>
      <c r="P18" s="3" t="s">
        <v>150</v>
      </c>
      <c r="Q18" t="str">
        <f t="shared" si="2"/>
        <v>K-StrongMax 18 121/650mm 40kg, tmavosivá</v>
      </c>
    </row>
    <row r="19" spans="2:17" x14ac:dyDescent="0.25">
      <c r="B19" t="str">
        <f t="shared" si="0"/>
        <v>K-StrongMax 18 185/300mm 40kg, tmavosivá</v>
      </c>
      <c r="C19" s="3" t="s">
        <v>151</v>
      </c>
      <c r="D19" s="3" t="s">
        <v>55</v>
      </c>
      <c r="E19" s="3" t="s">
        <v>248</v>
      </c>
      <c r="F19" s="3" t="s">
        <v>344</v>
      </c>
      <c r="G19" s="3" t="s">
        <v>419</v>
      </c>
      <c r="H19" s="3" t="s">
        <v>494</v>
      </c>
      <c r="I19" s="3" t="s">
        <v>36</v>
      </c>
      <c r="K19">
        <v>185</v>
      </c>
      <c r="L19" t="str">
        <f>Překlady!$C$33</f>
        <v>Tmavo sivá</v>
      </c>
      <c r="M19" t="s">
        <v>27</v>
      </c>
      <c r="N19">
        <v>300</v>
      </c>
      <c r="O19" s="5" t="str">
        <f t="shared" si="1"/>
        <v>Tmavo sivá_sklo_ne_185_300</v>
      </c>
      <c r="P19" s="3" t="s">
        <v>151</v>
      </c>
      <c r="Q19" t="str">
        <f t="shared" si="2"/>
        <v>K-StrongMax 18 185/300mm 40kg, tmavosivá</v>
      </c>
    </row>
    <row r="20" spans="2:17" x14ac:dyDescent="0.25">
      <c r="B20" t="str">
        <f t="shared" si="0"/>
        <v>K-StrongMax 18 185/350mm 40kg, tmavosivá</v>
      </c>
      <c r="C20" s="3" t="s">
        <v>152</v>
      </c>
      <c r="D20" s="3" t="s">
        <v>56</v>
      </c>
      <c r="E20" s="3" t="s">
        <v>249</v>
      </c>
      <c r="F20" s="3" t="s">
        <v>345</v>
      </c>
      <c r="G20" s="3" t="s">
        <v>420</v>
      </c>
      <c r="H20" s="3" t="s">
        <v>495</v>
      </c>
      <c r="I20" s="3" t="s">
        <v>36</v>
      </c>
      <c r="K20">
        <v>185</v>
      </c>
      <c r="L20" t="str">
        <f>Překlady!$C$33</f>
        <v>Tmavo sivá</v>
      </c>
      <c r="M20" t="s">
        <v>27</v>
      </c>
      <c r="N20">
        <v>350</v>
      </c>
      <c r="O20" s="5" t="str">
        <f t="shared" si="1"/>
        <v>Tmavo sivá_sklo_ne_185_350</v>
      </c>
      <c r="P20" s="3" t="s">
        <v>152</v>
      </c>
      <c r="Q20" t="str">
        <f t="shared" si="2"/>
        <v>K-StrongMax 18 185/350mm 40kg, tmavosivá</v>
      </c>
    </row>
    <row r="21" spans="2:17" x14ac:dyDescent="0.25">
      <c r="B21" t="str">
        <f t="shared" si="0"/>
        <v>K-StrongMax 18 185/400mm 40kg, tmavosivá</v>
      </c>
      <c r="C21" s="3" t="s">
        <v>153</v>
      </c>
      <c r="D21" s="3" t="s">
        <v>57</v>
      </c>
      <c r="E21" s="3" t="s">
        <v>250</v>
      </c>
      <c r="F21" s="3" t="s">
        <v>346</v>
      </c>
      <c r="G21" s="3" t="s">
        <v>421</v>
      </c>
      <c r="H21" s="3" t="s">
        <v>496</v>
      </c>
      <c r="I21" s="3" t="s">
        <v>36</v>
      </c>
      <c r="K21">
        <v>185</v>
      </c>
      <c r="L21" t="str">
        <f>Překlady!$C$33</f>
        <v>Tmavo sivá</v>
      </c>
      <c r="M21" t="s">
        <v>27</v>
      </c>
      <c r="N21">
        <v>400</v>
      </c>
      <c r="O21" s="5" t="str">
        <f t="shared" si="1"/>
        <v>Tmavo sivá_sklo_ne_185_400</v>
      </c>
      <c r="P21" s="3" t="s">
        <v>153</v>
      </c>
      <c r="Q21" t="str">
        <f t="shared" si="2"/>
        <v>K-StrongMax 18 185/400mm 40kg, tmavosivá</v>
      </c>
    </row>
    <row r="22" spans="2:17" x14ac:dyDescent="0.25">
      <c r="B22" t="str">
        <f t="shared" si="0"/>
        <v>K-StrongMax 18 185/450mm 40kg, tmavosivá</v>
      </c>
      <c r="C22" s="3" t="s">
        <v>154</v>
      </c>
      <c r="D22" s="3" t="s">
        <v>58</v>
      </c>
      <c r="E22" s="3" t="s">
        <v>251</v>
      </c>
      <c r="F22" s="3" t="s">
        <v>347</v>
      </c>
      <c r="G22" s="3" t="s">
        <v>422</v>
      </c>
      <c r="H22" s="3" t="s">
        <v>497</v>
      </c>
      <c r="I22" s="3" t="s">
        <v>36</v>
      </c>
      <c r="K22">
        <v>185</v>
      </c>
      <c r="L22" t="str">
        <f>Překlady!$C$33</f>
        <v>Tmavo sivá</v>
      </c>
      <c r="M22" t="s">
        <v>27</v>
      </c>
      <c r="N22">
        <v>450</v>
      </c>
      <c r="O22" s="5" t="str">
        <f t="shared" si="1"/>
        <v>Tmavo sivá_sklo_ne_185_450</v>
      </c>
      <c r="P22" s="3" t="s">
        <v>154</v>
      </c>
      <c r="Q22" t="str">
        <f t="shared" si="2"/>
        <v>K-StrongMax 18 185/450mm 40kg, tmavosivá</v>
      </c>
    </row>
    <row r="23" spans="2:17" x14ac:dyDescent="0.25">
      <c r="B23" t="str">
        <f t="shared" si="0"/>
        <v>K-StrongMax 18 185/500mm 40kg, tmavosivá</v>
      </c>
      <c r="C23" s="3" t="s">
        <v>155</v>
      </c>
      <c r="D23" s="3" t="s">
        <v>59</v>
      </c>
      <c r="E23" s="3" t="s">
        <v>252</v>
      </c>
      <c r="F23" s="3" t="s">
        <v>348</v>
      </c>
      <c r="G23" s="3" t="s">
        <v>423</v>
      </c>
      <c r="H23" s="3" t="s">
        <v>498</v>
      </c>
      <c r="I23" s="3" t="s">
        <v>36</v>
      </c>
      <c r="K23">
        <v>185</v>
      </c>
      <c r="L23" t="str">
        <f>Překlady!$C$33</f>
        <v>Tmavo sivá</v>
      </c>
      <c r="M23" t="s">
        <v>27</v>
      </c>
      <c r="N23">
        <v>500</v>
      </c>
      <c r="O23" s="5" t="str">
        <f t="shared" si="1"/>
        <v>Tmavo sivá_sklo_ne_185_500</v>
      </c>
      <c r="P23" s="3" t="s">
        <v>155</v>
      </c>
      <c r="Q23" t="str">
        <f t="shared" si="2"/>
        <v>K-StrongMax 18 185/500mm 40kg, tmavosivá</v>
      </c>
    </row>
    <row r="24" spans="2:17" x14ac:dyDescent="0.25">
      <c r="B24" t="str">
        <f t="shared" si="0"/>
        <v>K-StrongMax 18 185/550mm 40kg, tmavosivá</v>
      </c>
      <c r="C24" s="3" t="s">
        <v>156</v>
      </c>
      <c r="D24" s="3" t="s">
        <v>60</v>
      </c>
      <c r="E24" s="3" t="s">
        <v>253</v>
      </c>
      <c r="F24" s="3" t="s">
        <v>349</v>
      </c>
      <c r="G24" s="3" t="s">
        <v>424</v>
      </c>
      <c r="H24" s="3" t="s">
        <v>499</v>
      </c>
      <c r="I24" s="3" t="s">
        <v>36</v>
      </c>
      <c r="K24">
        <v>185</v>
      </c>
      <c r="L24" t="str">
        <f>Překlady!$C$33</f>
        <v>Tmavo sivá</v>
      </c>
      <c r="M24" t="s">
        <v>27</v>
      </c>
      <c r="N24">
        <v>550</v>
      </c>
      <c r="O24" s="5" t="str">
        <f t="shared" si="1"/>
        <v>Tmavo sivá_sklo_ne_185_550</v>
      </c>
      <c r="P24" s="3" t="s">
        <v>156</v>
      </c>
      <c r="Q24" t="str">
        <f t="shared" si="2"/>
        <v>K-StrongMax 18 185/550mm 40kg, tmavosivá</v>
      </c>
    </row>
    <row r="25" spans="2:17" x14ac:dyDescent="0.25">
      <c r="B25" t="str">
        <f t="shared" si="0"/>
        <v>K-StrongMax 18 185/600mm 40kg, tmavosivá</v>
      </c>
      <c r="C25" s="3" t="s">
        <v>157</v>
      </c>
      <c r="D25" s="3" t="s">
        <v>61</v>
      </c>
      <c r="E25" s="3" t="s">
        <v>254</v>
      </c>
      <c r="F25" s="3" t="s">
        <v>350</v>
      </c>
      <c r="G25" s="3" t="s">
        <v>425</v>
      </c>
      <c r="H25" s="3" t="s">
        <v>500</v>
      </c>
      <c r="I25" s="3" t="s">
        <v>36</v>
      </c>
      <c r="K25">
        <v>185</v>
      </c>
      <c r="L25" t="str">
        <f>Překlady!$C$33</f>
        <v>Tmavo sivá</v>
      </c>
      <c r="M25" t="s">
        <v>27</v>
      </c>
      <c r="N25">
        <v>600</v>
      </c>
      <c r="O25" s="5" t="str">
        <f t="shared" si="1"/>
        <v>Tmavo sivá_sklo_ne_185_600</v>
      </c>
      <c r="P25" s="3" t="s">
        <v>157</v>
      </c>
      <c r="Q25" t="str">
        <f t="shared" si="2"/>
        <v>K-StrongMax 18 185/600mm 40kg, tmavosivá</v>
      </c>
    </row>
    <row r="26" spans="2:17" x14ac:dyDescent="0.25">
      <c r="B26" t="str">
        <f t="shared" si="0"/>
        <v>K-StrongMax 18 185/650mm 40kg, tmavosivá</v>
      </c>
      <c r="C26" s="3" t="s">
        <v>158</v>
      </c>
      <c r="D26" s="3" t="s">
        <v>62</v>
      </c>
      <c r="E26" s="3" t="s">
        <v>255</v>
      </c>
      <c r="F26" s="3" t="s">
        <v>351</v>
      </c>
      <c r="G26" s="3" t="s">
        <v>426</v>
      </c>
      <c r="H26" s="3" t="s">
        <v>501</v>
      </c>
      <c r="I26" s="3" t="s">
        <v>38</v>
      </c>
      <c r="K26">
        <v>185</v>
      </c>
      <c r="L26" t="str">
        <f>Překlady!$C$33</f>
        <v>Tmavo sivá</v>
      </c>
      <c r="M26" t="s">
        <v>27</v>
      </c>
      <c r="N26">
        <v>650</v>
      </c>
      <c r="O26" s="5" t="str">
        <f t="shared" si="1"/>
        <v>Tmavo sivá_sklo_ne_185_650</v>
      </c>
      <c r="P26" s="3" t="s">
        <v>158</v>
      </c>
      <c r="Q26" t="str">
        <f t="shared" si="2"/>
        <v>K-StrongMax 18 185/650mm 40kg, tmavosivá</v>
      </c>
    </row>
    <row r="27" spans="2:17" x14ac:dyDescent="0.25">
      <c r="B27" t="str">
        <f t="shared" si="0"/>
        <v>K-StrongMax 18 249/450mm 40kg, tmavosivá</v>
      </c>
      <c r="C27" s="3" t="s">
        <v>159</v>
      </c>
      <c r="D27" s="3" t="s">
        <v>63</v>
      </c>
      <c r="E27" s="3" t="s">
        <v>256</v>
      </c>
      <c r="F27" s="3" t="s">
        <v>352</v>
      </c>
      <c r="G27" s="3" t="s">
        <v>427</v>
      </c>
      <c r="H27" s="3" t="s">
        <v>502</v>
      </c>
      <c r="I27" s="3" t="s">
        <v>38</v>
      </c>
      <c r="K27">
        <v>249</v>
      </c>
      <c r="L27" t="str">
        <f>Překlady!$C$33</f>
        <v>Tmavo sivá</v>
      </c>
      <c r="M27" t="s">
        <v>27</v>
      </c>
      <c r="N27">
        <v>450</v>
      </c>
      <c r="O27" s="5" t="str">
        <f t="shared" si="1"/>
        <v>Tmavo sivá_sklo_ne_249_450</v>
      </c>
      <c r="P27" s="3" t="s">
        <v>159</v>
      </c>
      <c r="Q27" t="str">
        <f t="shared" si="2"/>
        <v>K-StrongMax 18 249/450mm 40kg, tmavosivá</v>
      </c>
    </row>
    <row r="28" spans="2:17" x14ac:dyDescent="0.25">
      <c r="B28" t="str">
        <f t="shared" si="0"/>
        <v>K-StrongMax 18 249/500mm 40kg, tmavosivá</v>
      </c>
      <c r="C28" s="3" t="s">
        <v>160</v>
      </c>
      <c r="D28" s="3" t="s">
        <v>64</v>
      </c>
      <c r="E28" s="3" t="s">
        <v>257</v>
      </c>
      <c r="F28" s="3" t="s">
        <v>353</v>
      </c>
      <c r="G28" s="3" t="s">
        <v>428</v>
      </c>
      <c r="H28" s="3" t="s">
        <v>503</v>
      </c>
      <c r="I28" s="3" t="s">
        <v>36</v>
      </c>
      <c r="K28">
        <v>249</v>
      </c>
      <c r="L28" t="str">
        <f>Překlady!$C$33</f>
        <v>Tmavo sivá</v>
      </c>
      <c r="M28" t="s">
        <v>27</v>
      </c>
      <c r="N28">
        <v>500</v>
      </c>
      <c r="O28" s="5" t="str">
        <f t="shared" si="1"/>
        <v>Tmavo sivá_sklo_ne_249_500</v>
      </c>
      <c r="P28" s="3" t="s">
        <v>160</v>
      </c>
      <c r="Q28" t="str">
        <f t="shared" si="2"/>
        <v>K-StrongMax 18 249/500mm 40kg, tmavosivá</v>
      </c>
    </row>
    <row r="29" spans="2:17" x14ac:dyDescent="0.25">
      <c r="B29" t="str">
        <f t="shared" si="0"/>
        <v>K-StrongMax 18 249/550mm 40kg, tmavosivá</v>
      </c>
      <c r="C29" s="3" t="s">
        <v>161</v>
      </c>
      <c r="D29" s="3" t="s">
        <v>65</v>
      </c>
      <c r="E29" s="3" t="s">
        <v>258</v>
      </c>
      <c r="F29" s="3" t="s">
        <v>354</v>
      </c>
      <c r="G29" s="3" t="s">
        <v>429</v>
      </c>
      <c r="H29" s="3" t="s">
        <v>504</v>
      </c>
      <c r="I29" s="3" t="s">
        <v>38</v>
      </c>
      <c r="K29">
        <v>249</v>
      </c>
      <c r="L29" t="str">
        <f>Překlady!$C$33</f>
        <v>Tmavo sivá</v>
      </c>
      <c r="M29" t="s">
        <v>27</v>
      </c>
      <c r="N29">
        <v>550</v>
      </c>
      <c r="O29" s="5" t="str">
        <f t="shared" si="1"/>
        <v>Tmavo sivá_sklo_ne_249_550</v>
      </c>
      <c r="P29" s="3" t="s">
        <v>161</v>
      </c>
      <c r="Q29" t="str">
        <f t="shared" si="2"/>
        <v>K-StrongMax 18 249/550mm 40kg, tmavosivá</v>
      </c>
    </row>
    <row r="30" spans="2:17" x14ac:dyDescent="0.25">
      <c r="B30" t="str">
        <f t="shared" si="0"/>
        <v>K-StrongMax 18 249/600mm 40kg, tmavosivá</v>
      </c>
      <c r="C30" s="3" t="s">
        <v>162</v>
      </c>
      <c r="D30" s="3" t="s">
        <v>66</v>
      </c>
      <c r="E30" s="3" t="s">
        <v>259</v>
      </c>
      <c r="F30" s="3" t="s">
        <v>355</v>
      </c>
      <c r="G30" s="3" t="s">
        <v>430</v>
      </c>
      <c r="H30" s="3" t="s">
        <v>505</v>
      </c>
      <c r="I30" s="3" t="s">
        <v>38</v>
      </c>
      <c r="K30">
        <v>249</v>
      </c>
      <c r="L30" t="str">
        <f>Překlady!$C$33</f>
        <v>Tmavo sivá</v>
      </c>
      <c r="M30" t="s">
        <v>27</v>
      </c>
      <c r="N30">
        <v>600</v>
      </c>
      <c r="O30" s="5" t="str">
        <f t="shared" si="1"/>
        <v>Tmavo sivá_sklo_ne_249_600</v>
      </c>
      <c r="P30" s="3" t="s">
        <v>162</v>
      </c>
      <c r="Q30" t="str">
        <f t="shared" si="2"/>
        <v>K-StrongMax 18 249/600mm 40kg, tmavosivá</v>
      </c>
    </row>
    <row r="31" spans="2:17" x14ac:dyDescent="0.25">
      <c r="B31" t="str">
        <f t="shared" si="0"/>
        <v>K-StrongMax 18 249/650mm 40kg, tmavosivá</v>
      </c>
      <c r="C31" s="3" t="s">
        <v>163</v>
      </c>
      <c r="D31" s="3" t="s">
        <v>67</v>
      </c>
      <c r="E31" s="3" t="s">
        <v>260</v>
      </c>
      <c r="F31" s="3" t="s">
        <v>356</v>
      </c>
      <c r="G31" s="3" t="s">
        <v>431</v>
      </c>
      <c r="H31" s="3" t="s">
        <v>506</v>
      </c>
      <c r="I31" s="3" t="s">
        <v>38</v>
      </c>
      <c r="K31">
        <v>249</v>
      </c>
      <c r="L31" t="str">
        <f>Překlady!$C$33</f>
        <v>Tmavo sivá</v>
      </c>
      <c r="M31" t="s">
        <v>27</v>
      </c>
      <c r="N31">
        <v>650</v>
      </c>
      <c r="O31" s="5" t="str">
        <f t="shared" si="1"/>
        <v>Tmavo sivá_sklo_ne_249_650</v>
      </c>
      <c r="P31" s="3" t="s">
        <v>163</v>
      </c>
      <c r="Q31" t="str">
        <f t="shared" si="2"/>
        <v>K-StrongMax 18 249/650mm 40kg, tmavosivá</v>
      </c>
    </row>
    <row r="32" spans="2:17" x14ac:dyDescent="0.25">
      <c r="B32" t="str">
        <f t="shared" si="0"/>
        <v>K-StrongMax 18 185/450mm 40kg, presklená bočnica, tmavosivá</v>
      </c>
      <c r="C32" s="3" t="s">
        <v>164</v>
      </c>
      <c r="D32" s="3" t="s">
        <v>68</v>
      </c>
      <c r="E32" s="3" t="s">
        <v>261</v>
      </c>
      <c r="F32" s="3" t="s">
        <v>357</v>
      </c>
      <c r="G32" s="3" t="s">
        <v>432</v>
      </c>
      <c r="H32" s="3" t="s">
        <v>507</v>
      </c>
      <c r="I32" s="3" t="s">
        <v>38</v>
      </c>
      <c r="K32">
        <v>185</v>
      </c>
      <c r="L32" t="str">
        <f>Překlady!$C$33</f>
        <v>Tmavo sivá</v>
      </c>
      <c r="M32" t="s">
        <v>25</v>
      </c>
      <c r="N32">
        <v>450</v>
      </c>
      <c r="O32" s="5" t="str">
        <f t="shared" si="1"/>
        <v>Tmavo sivá_sklo_ano_185_450</v>
      </c>
      <c r="P32" s="3" t="s">
        <v>164</v>
      </c>
      <c r="Q32" t="str">
        <f t="shared" si="2"/>
        <v>K-StrongMax 18 185/450mm 40kg, presklená bočnica, tmavosivá</v>
      </c>
    </row>
    <row r="33" spans="2:17" x14ac:dyDescent="0.25">
      <c r="B33" t="str">
        <f t="shared" si="0"/>
        <v>K-StrongMax 18 185/500mm 40kg, presklená bočnica, tmavosivá</v>
      </c>
      <c r="C33" s="3" t="s">
        <v>165</v>
      </c>
      <c r="D33" s="3" t="s">
        <v>69</v>
      </c>
      <c r="E33" s="3" t="s">
        <v>262</v>
      </c>
      <c r="F33" s="3" t="s">
        <v>358</v>
      </c>
      <c r="G33" s="3" t="s">
        <v>433</v>
      </c>
      <c r="H33" s="3" t="s">
        <v>508</v>
      </c>
      <c r="I33" s="3" t="s">
        <v>38</v>
      </c>
      <c r="K33">
        <v>185</v>
      </c>
      <c r="L33" t="str">
        <f>Překlady!$C$33</f>
        <v>Tmavo sivá</v>
      </c>
      <c r="M33" t="s">
        <v>25</v>
      </c>
      <c r="N33">
        <v>500</v>
      </c>
      <c r="O33" s="5" t="str">
        <f t="shared" si="1"/>
        <v>Tmavo sivá_sklo_ano_185_500</v>
      </c>
      <c r="P33" s="3" t="s">
        <v>165</v>
      </c>
      <c r="Q33" t="str">
        <f t="shared" si="2"/>
        <v>K-StrongMax 18 185/500mm 40kg, presklená bočnica, tmavosivá</v>
      </c>
    </row>
    <row r="34" spans="2:17" x14ac:dyDescent="0.25">
      <c r="B34" t="str">
        <f t="shared" si="0"/>
        <v>K-StrongMax 18 185/550mm 40kg, presklená bočnica, tmavosivá</v>
      </c>
      <c r="C34" s="3" t="s">
        <v>166</v>
      </c>
      <c r="D34" s="3" t="s">
        <v>70</v>
      </c>
      <c r="E34" s="3" t="s">
        <v>263</v>
      </c>
      <c r="F34" s="3" t="s">
        <v>359</v>
      </c>
      <c r="G34" s="3" t="s">
        <v>434</v>
      </c>
      <c r="H34" s="3" t="s">
        <v>509</v>
      </c>
      <c r="I34" s="3" t="s">
        <v>38</v>
      </c>
      <c r="K34">
        <v>185</v>
      </c>
      <c r="L34" t="str">
        <f>Překlady!$C$33</f>
        <v>Tmavo sivá</v>
      </c>
      <c r="M34" t="s">
        <v>25</v>
      </c>
      <c r="N34">
        <v>550</v>
      </c>
      <c r="O34" s="5" t="str">
        <f t="shared" si="1"/>
        <v>Tmavo sivá_sklo_ano_185_550</v>
      </c>
      <c r="P34" s="3" t="s">
        <v>166</v>
      </c>
      <c r="Q34" t="str">
        <f t="shared" si="2"/>
        <v>K-StrongMax 18 185/550mm 40kg, presklená bočnica, tmavosivá</v>
      </c>
    </row>
    <row r="35" spans="2:17" x14ac:dyDescent="0.25">
      <c r="B35" t="str">
        <f t="shared" si="0"/>
        <v>K-StrongMax 18 89/300mm 40kg, biela</v>
      </c>
      <c r="C35" s="3" t="s">
        <v>167</v>
      </c>
      <c r="D35" s="3" t="s">
        <v>71</v>
      </c>
      <c r="E35" s="3" t="s">
        <v>264</v>
      </c>
      <c r="F35" s="3" t="s">
        <v>360</v>
      </c>
      <c r="G35" s="3" t="s">
        <v>435</v>
      </c>
      <c r="H35" s="3" t="s">
        <v>510</v>
      </c>
      <c r="I35" s="3" t="s">
        <v>36</v>
      </c>
      <c r="K35">
        <v>89</v>
      </c>
      <c r="L35" s="36" t="str">
        <f>Překlady!$C$31</f>
        <v>Biela</v>
      </c>
      <c r="M35" t="s">
        <v>27</v>
      </c>
      <c r="N35">
        <v>300</v>
      </c>
      <c r="O35" s="5" t="str">
        <f t="shared" si="1"/>
        <v>Biela_sklo_ne_89_300</v>
      </c>
      <c r="P35" s="3" t="s">
        <v>167</v>
      </c>
      <c r="Q35" t="str">
        <f t="shared" si="2"/>
        <v>K-StrongMax 18 89/300mm 40kg, biela</v>
      </c>
    </row>
    <row r="36" spans="2:17" x14ac:dyDescent="0.25">
      <c r="B36" t="str">
        <f t="shared" si="0"/>
        <v>K-StrongMax 18 89/350mm 40kg, biela</v>
      </c>
      <c r="C36" s="3" t="s">
        <v>168</v>
      </c>
      <c r="D36" s="3" t="s">
        <v>72</v>
      </c>
      <c r="E36" s="3" t="s">
        <v>265</v>
      </c>
      <c r="F36" s="3" t="s">
        <v>361</v>
      </c>
      <c r="G36" s="3" t="s">
        <v>436</v>
      </c>
      <c r="H36" s="3" t="s">
        <v>511</v>
      </c>
      <c r="I36" s="3" t="s">
        <v>36</v>
      </c>
      <c r="K36">
        <v>89</v>
      </c>
      <c r="L36" s="36" t="str">
        <f>Překlady!$C$31</f>
        <v>Biela</v>
      </c>
      <c r="M36" t="s">
        <v>27</v>
      </c>
      <c r="N36">
        <v>350</v>
      </c>
      <c r="O36" s="5" t="str">
        <f t="shared" si="1"/>
        <v>Biela_sklo_ne_89_350</v>
      </c>
      <c r="P36" s="3" t="s">
        <v>168</v>
      </c>
      <c r="Q36" t="str">
        <f t="shared" si="2"/>
        <v>K-StrongMax 18 89/350mm 40kg, biela</v>
      </c>
    </row>
    <row r="37" spans="2:17" x14ac:dyDescent="0.25">
      <c r="B37" t="str">
        <f t="shared" si="0"/>
        <v>K-StrongMax 18 89/400mm 40kg, biela</v>
      </c>
      <c r="C37" s="3" t="s">
        <v>169</v>
      </c>
      <c r="D37" s="3" t="s">
        <v>73</v>
      </c>
      <c r="E37" s="3" t="s">
        <v>266</v>
      </c>
      <c r="F37" s="3" t="s">
        <v>362</v>
      </c>
      <c r="G37" s="3" t="s">
        <v>437</v>
      </c>
      <c r="H37" s="3" t="s">
        <v>512</v>
      </c>
      <c r="I37" s="3" t="s">
        <v>36</v>
      </c>
      <c r="K37">
        <v>89</v>
      </c>
      <c r="L37" s="36" t="str">
        <f>Překlady!$C$31</f>
        <v>Biela</v>
      </c>
      <c r="M37" t="s">
        <v>27</v>
      </c>
      <c r="N37">
        <v>400</v>
      </c>
      <c r="O37" s="5" t="str">
        <f t="shared" si="1"/>
        <v>Biela_sklo_ne_89_400</v>
      </c>
      <c r="P37" s="3" t="s">
        <v>169</v>
      </c>
      <c r="Q37" t="str">
        <f t="shared" si="2"/>
        <v>K-StrongMax 18 89/400mm 40kg, biela</v>
      </c>
    </row>
    <row r="38" spans="2:17" x14ac:dyDescent="0.25">
      <c r="B38" t="str">
        <f t="shared" si="0"/>
        <v>K-StrongMax 18 89/450mm 40kg, biela</v>
      </c>
      <c r="C38" s="3" t="s">
        <v>170</v>
      </c>
      <c r="D38" s="3" t="s">
        <v>74</v>
      </c>
      <c r="E38" s="3" t="s">
        <v>267</v>
      </c>
      <c r="F38" s="3" t="s">
        <v>363</v>
      </c>
      <c r="G38" s="3" t="s">
        <v>438</v>
      </c>
      <c r="H38" s="3" t="s">
        <v>513</v>
      </c>
      <c r="I38" s="3" t="s">
        <v>36</v>
      </c>
      <c r="K38">
        <v>89</v>
      </c>
      <c r="L38" s="36" t="str">
        <f>Překlady!$C$31</f>
        <v>Biela</v>
      </c>
      <c r="M38" t="s">
        <v>27</v>
      </c>
      <c r="N38">
        <v>450</v>
      </c>
      <c r="O38" s="5" t="str">
        <f t="shared" si="1"/>
        <v>Biela_sklo_ne_89_450</v>
      </c>
      <c r="P38" s="3" t="s">
        <v>170</v>
      </c>
      <c r="Q38" t="str">
        <f t="shared" si="2"/>
        <v>K-StrongMax 18 89/450mm 40kg, biela</v>
      </c>
    </row>
    <row r="39" spans="2:17" x14ac:dyDescent="0.25">
      <c r="B39" t="str">
        <f t="shared" si="0"/>
        <v>K-StrongMax 18 89/500mm 40kg, biela</v>
      </c>
      <c r="C39" s="3" t="s">
        <v>171</v>
      </c>
      <c r="D39" s="3" t="s">
        <v>75</v>
      </c>
      <c r="E39" s="3" t="s">
        <v>268</v>
      </c>
      <c r="F39" s="3" t="s">
        <v>364</v>
      </c>
      <c r="G39" s="3" t="s">
        <v>439</v>
      </c>
      <c r="H39" s="3" t="s">
        <v>514</v>
      </c>
      <c r="I39" s="3" t="s">
        <v>36</v>
      </c>
      <c r="K39">
        <v>89</v>
      </c>
      <c r="L39" s="36" t="str">
        <f>Překlady!$C$31</f>
        <v>Biela</v>
      </c>
      <c r="M39" t="s">
        <v>27</v>
      </c>
      <c r="N39">
        <v>500</v>
      </c>
      <c r="O39" s="5" t="str">
        <f t="shared" si="1"/>
        <v>Biela_sklo_ne_89_500</v>
      </c>
      <c r="P39" s="3" t="s">
        <v>171</v>
      </c>
      <c r="Q39" t="str">
        <f t="shared" si="2"/>
        <v>K-StrongMax 18 89/500mm 40kg, biela</v>
      </c>
    </row>
    <row r="40" spans="2:17" x14ac:dyDescent="0.25">
      <c r="B40" t="str">
        <f t="shared" si="0"/>
        <v>K-StrongMax 18 89/550mm 40kg, biela</v>
      </c>
      <c r="C40" s="3" t="s">
        <v>172</v>
      </c>
      <c r="D40" s="3" t="s">
        <v>76</v>
      </c>
      <c r="E40" s="3" t="s">
        <v>269</v>
      </c>
      <c r="F40" s="3" t="s">
        <v>365</v>
      </c>
      <c r="G40" s="3" t="s">
        <v>440</v>
      </c>
      <c r="H40" s="3" t="s">
        <v>515</v>
      </c>
      <c r="I40" s="3" t="s">
        <v>36</v>
      </c>
      <c r="K40">
        <v>89</v>
      </c>
      <c r="L40" s="36" t="str">
        <f>Překlady!$C$31</f>
        <v>Biela</v>
      </c>
      <c r="M40" t="s">
        <v>27</v>
      </c>
      <c r="N40">
        <v>550</v>
      </c>
      <c r="O40" s="5" t="str">
        <f t="shared" si="1"/>
        <v>Biela_sklo_ne_89_550</v>
      </c>
      <c r="P40" s="3" t="s">
        <v>172</v>
      </c>
      <c r="Q40" t="str">
        <f t="shared" si="2"/>
        <v>K-StrongMax 18 89/550mm 40kg, biela</v>
      </c>
    </row>
    <row r="41" spans="2:17" x14ac:dyDescent="0.25">
      <c r="B41" t="str">
        <f t="shared" si="0"/>
        <v>K-StrongMax 18 89/600mm 40kg, biela</v>
      </c>
      <c r="C41" s="3" t="s">
        <v>173</v>
      </c>
      <c r="D41" s="3" t="s">
        <v>77</v>
      </c>
      <c r="E41" s="3" t="s">
        <v>270</v>
      </c>
      <c r="F41" s="3" t="s">
        <v>366</v>
      </c>
      <c r="G41" s="3" t="s">
        <v>441</v>
      </c>
      <c r="H41" s="3" t="s">
        <v>516</v>
      </c>
      <c r="I41" s="3" t="s">
        <v>36</v>
      </c>
      <c r="K41">
        <v>89</v>
      </c>
      <c r="L41" s="36" t="str">
        <f>Překlady!$C$31</f>
        <v>Biela</v>
      </c>
      <c r="M41" t="s">
        <v>27</v>
      </c>
      <c r="N41">
        <v>600</v>
      </c>
      <c r="O41" s="5" t="str">
        <f t="shared" si="1"/>
        <v>Biela_sklo_ne_89_600</v>
      </c>
      <c r="P41" s="3" t="s">
        <v>173</v>
      </c>
      <c r="Q41" t="str">
        <f t="shared" si="2"/>
        <v>K-StrongMax 18 89/600mm 40kg, biela</v>
      </c>
    </row>
    <row r="42" spans="2:17" x14ac:dyDescent="0.25">
      <c r="B42" t="str">
        <f t="shared" si="0"/>
        <v>K-StrongMax 18 89/650mm 40kg, biela</v>
      </c>
      <c r="C42" s="3" t="s">
        <v>174</v>
      </c>
      <c r="D42" s="3" t="s">
        <v>78</v>
      </c>
      <c r="E42" s="3" t="s">
        <v>271</v>
      </c>
      <c r="F42" s="3" t="s">
        <v>367</v>
      </c>
      <c r="G42" s="3" t="s">
        <v>442</v>
      </c>
      <c r="H42" s="3" t="s">
        <v>517</v>
      </c>
      <c r="I42" s="3" t="s">
        <v>38</v>
      </c>
      <c r="K42">
        <v>89</v>
      </c>
      <c r="L42" s="36" t="str">
        <f>Překlady!$C$31</f>
        <v>Biela</v>
      </c>
      <c r="M42" t="s">
        <v>27</v>
      </c>
      <c r="N42">
        <v>650</v>
      </c>
      <c r="O42" s="5" t="str">
        <f t="shared" si="1"/>
        <v>Biela_sklo_ne_89_650</v>
      </c>
      <c r="P42" s="3" t="s">
        <v>174</v>
      </c>
      <c r="Q42" t="str">
        <f t="shared" si="2"/>
        <v>K-StrongMax 18 89/650mm 40kg, biela</v>
      </c>
    </row>
    <row r="43" spans="2:17" x14ac:dyDescent="0.25">
      <c r="B43" t="str">
        <f t="shared" si="0"/>
        <v>K-StrongMax 18 121/300mm 40kg, biela</v>
      </c>
      <c r="C43" s="3" t="s">
        <v>175</v>
      </c>
      <c r="D43" s="3" t="s">
        <v>79</v>
      </c>
      <c r="E43" s="3" t="s">
        <v>272</v>
      </c>
      <c r="F43" s="3" t="s">
        <v>368</v>
      </c>
      <c r="G43" s="3" t="s">
        <v>443</v>
      </c>
      <c r="H43" s="3" t="s">
        <v>518</v>
      </c>
      <c r="I43" s="3" t="s">
        <v>36</v>
      </c>
      <c r="K43">
        <v>121</v>
      </c>
      <c r="L43" s="36" t="str">
        <f>Překlady!$C$31</f>
        <v>Biela</v>
      </c>
      <c r="M43" t="s">
        <v>27</v>
      </c>
      <c r="N43">
        <v>300</v>
      </c>
      <c r="O43" s="5" t="str">
        <f t="shared" si="1"/>
        <v>Biela_sklo_ne_121_300</v>
      </c>
      <c r="P43" s="3" t="s">
        <v>175</v>
      </c>
      <c r="Q43" t="str">
        <f t="shared" si="2"/>
        <v>K-StrongMax 18 121/300mm 40kg, biela</v>
      </c>
    </row>
    <row r="44" spans="2:17" x14ac:dyDescent="0.25">
      <c r="B44" t="str">
        <f t="shared" si="0"/>
        <v>K-StrongMax 18 121/350mm 40kg, biela</v>
      </c>
      <c r="C44" s="3" t="s">
        <v>176</v>
      </c>
      <c r="D44" s="3" t="s">
        <v>80</v>
      </c>
      <c r="E44" s="3" t="s">
        <v>273</v>
      </c>
      <c r="F44" s="3" t="s">
        <v>369</v>
      </c>
      <c r="G44" s="3" t="s">
        <v>444</v>
      </c>
      <c r="H44" s="3" t="s">
        <v>519</v>
      </c>
      <c r="I44" s="3" t="s">
        <v>36</v>
      </c>
      <c r="K44">
        <v>121</v>
      </c>
      <c r="L44" s="36" t="str">
        <f>Překlady!$C$31</f>
        <v>Biela</v>
      </c>
      <c r="M44" t="s">
        <v>27</v>
      </c>
      <c r="N44">
        <v>350</v>
      </c>
      <c r="O44" s="5" t="str">
        <f t="shared" si="1"/>
        <v>Biela_sklo_ne_121_350</v>
      </c>
      <c r="P44" s="3" t="s">
        <v>176</v>
      </c>
      <c r="Q44" t="str">
        <f t="shared" si="2"/>
        <v>K-StrongMax 18 121/350mm 40kg, biela</v>
      </c>
    </row>
    <row r="45" spans="2:17" x14ac:dyDescent="0.25">
      <c r="B45" t="str">
        <f t="shared" si="0"/>
        <v>K-StrongMax 18 121/400mm 40kg, biela</v>
      </c>
      <c r="C45" s="3" t="s">
        <v>177</v>
      </c>
      <c r="D45" s="3" t="s">
        <v>81</v>
      </c>
      <c r="E45" s="3" t="s">
        <v>274</v>
      </c>
      <c r="F45" s="3" t="s">
        <v>370</v>
      </c>
      <c r="G45" s="3" t="s">
        <v>445</v>
      </c>
      <c r="H45" s="3" t="s">
        <v>520</v>
      </c>
      <c r="I45" s="3" t="s">
        <v>36</v>
      </c>
      <c r="K45">
        <v>121</v>
      </c>
      <c r="L45" s="36" t="str">
        <f>Překlady!$C$31</f>
        <v>Biela</v>
      </c>
      <c r="M45" t="s">
        <v>27</v>
      </c>
      <c r="N45">
        <v>400</v>
      </c>
      <c r="O45" s="5" t="str">
        <f t="shared" si="1"/>
        <v>Biela_sklo_ne_121_400</v>
      </c>
      <c r="P45" s="3" t="s">
        <v>177</v>
      </c>
      <c r="Q45" t="str">
        <f t="shared" si="2"/>
        <v>K-StrongMax 18 121/400mm 40kg, biela</v>
      </c>
    </row>
    <row r="46" spans="2:17" x14ac:dyDescent="0.25">
      <c r="B46" t="str">
        <f t="shared" si="0"/>
        <v>K-StrongMax 18 121/450mm 40kg, biela</v>
      </c>
      <c r="C46" s="3" t="s">
        <v>178</v>
      </c>
      <c r="D46" s="3" t="s">
        <v>82</v>
      </c>
      <c r="E46" s="3" t="s">
        <v>275</v>
      </c>
      <c r="F46" s="3" t="s">
        <v>371</v>
      </c>
      <c r="G46" s="3" t="s">
        <v>446</v>
      </c>
      <c r="H46" s="3" t="s">
        <v>521</v>
      </c>
      <c r="I46" s="3" t="s">
        <v>36</v>
      </c>
      <c r="K46">
        <v>121</v>
      </c>
      <c r="L46" s="36" t="str">
        <f>Překlady!$C$31</f>
        <v>Biela</v>
      </c>
      <c r="M46" t="s">
        <v>27</v>
      </c>
      <c r="N46">
        <v>450</v>
      </c>
      <c r="O46" s="5" t="str">
        <f t="shared" si="1"/>
        <v>Biela_sklo_ne_121_450</v>
      </c>
      <c r="P46" s="3" t="s">
        <v>178</v>
      </c>
      <c r="Q46" t="str">
        <f t="shared" si="2"/>
        <v>K-StrongMax 18 121/450mm 40kg, biela</v>
      </c>
    </row>
    <row r="47" spans="2:17" x14ac:dyDescent="0.25">
      <c r="B47" t="str">
        <f t="shared" si="0"/>
        <v>K-StrongMax 18 121/500mm 40kg, biela</v>
      </c>
      <c r="C47" s="3" t="s">
        <v>179</v>
      </c>
      <c r="D47" s="3" t="s">
        <v>83</v>
      </c>
      <c r="E47" s="3" t="s">
        <v>276</v>
      </c>
      <c r="F47" s="3" t="s">
        <v>372</v>
      </c>
      <c r="G47" s="3" t="s">
        <v>447</v>
      </c>
      <c r="H47" s="3" t="s">
        <v>522</v>
      </c>
      <c r="I47" s="3" t="s">
        <v>36</v>
      </c>
      <c r="K47">
        <v>121</v>
      </c>
      <c r="L47" s="36" t="str">
        <f>Překlady!$C$31</f>
        <v>Biela</v>
      </c>
      <c r="M47" t="s">
        <v>27</v>
      </c>
      <c r="N47">
        <v>500</v>
      </c>
      <c r="O47" s="5" t="str">
        <f t="shared" si="1"/>
        <v>Biela_sklo_ne_121_500</v>
      </c>
      <c r="P47" s="3" t="s">
        <v>179</v>
      </c>
      <c r="Q47" t="str">
        <f t="shared" si="2"/>
        <v>K-StrongMax 18 121/500mm 40kg, biela</v>
      </c>
    </row>
    <row r="48" spans="2:17" x14ac:dyDescent="0.25">
      <c r="B48" t="str">
        <f t="shared" si="0"/>
        <v>K-StrongMax 18 121/550mm 40kg, biela</v>
      </c>
      <c r="C48" s="3" t="s">
        <v>180</v>
      </c>
      <c r="D48" s="3" t="s">
        <v>84</v>
      </c>
      <c r="E48" s="3" t="s">
        <v>277</v>
      </c>
      <c r="F48" s="3" t="s">
        <v>373</v>
      </c>
      <c r="G48" s="3" t="s">
        <v>448</v>
      </c>
      <c r="H48" s="3" t="s">
        <v>523</v>
      </c>
      <c r="I48" s="3" t="s">
        <v>36</v>
      </c>
      <c r="K48">
        <v>121</v>
      </c>
      <c r="L48" s="36" t="str">
        <f>Překlady!$C$31</f>
        <v>Biela</v>
      </c>
      <c r="M48" t="s">
        <v>27</v>
      </c>
      <c r="N48">
        <v>550</v>
      </c>
      <c r="O48" s="5" t="str">
        <f t="shared" si="1"/>
        <v>Biela_sklo_ne_121_550</v>
      </c>
      <c r="P48" s="3" t="s">
        <v>180</v>
      </c>
      <c r="Q48" t="str">
        <f t="shared" si="2"/>
        <v>K-StrongMax 18 121/550mm 40kg, biela</v>
      </c>
    </row>
    <row r="49" spans="2:17" x14ac:dyDescent="0.25">
      <c r="B49" t="str">
        <f t="shared" si="0"/>
        <v>K-StrongMax 18 121/600mm 40kg, biela</v>
      </c>
      <c r="C49" s="3" t="s">
        <v>181</v>
      </c>
      <c r="D49" s="3" t="s">
        <v>85</v>
      </c>
      <c r="E49" s="3" t="s">
        <v>278</v>
      </c>
      <c r="F49" s="3" t="s">
        <v>374</v>
      </c>
      <c r="G49" s="3" t="s">
        <v>449</v>
      </c>
      <c r="H49" s="3" t="s">
        <v>524</v>
      </c>
      <c r="I49" s="3" t="s">
        <v>36</v>
      </c>
      <c r="K49">
        <v>121</v>
      </c>
      <c r="L49" s="36" t="str">
        <f>Překlady!$C$31</f>
        <v>Biela</v>
      </c>
      <c r="M49" t="s">
        <v>27</v>
      </c>
      <c r="N49">
        <v>600</v>
      </c>
      <c r="O49" s="5" t="str">
        <f t="shared" si="1"/>
        <v>Biela_sklo_ne_121_600</v>
      </c>
      <c r="P49" s="3" t="s">
        <v>181</v>
      </c>
      <c r="Q49" t="str">
        <f t="shared" si="2"/>
        <v>K-StrongMax 18 121/600mm 40kg, biela</v>
      </c>
    </row>
    <row r="50" spans="2:17" x14ac:dyDescent="0.25">
      <c r="B50" t="str">
        <f t="shared" si="0"/>
        <v>K-StrongMax 18 121/650mm 40kg, biela</v>
      </c>
      <c r="C50" s="3" t="s">
        <v>182</v>
      </c>
      <c r="D50" s="3" t="s">
        <v>86</v>
      </c>
      <c r="E50" s="3" t="s">
        <v>279</v>
      </c>
      <c r="F50" s="3" t="s">
        <v>375</v>
      </c>
      <c r="G50" s="3" t="s">
        <v>450</v>
      </c>
      <c r="H50" s="3" t="s">
        <v>525</v>
      </c>
      <c r="I50" s="3" t="s">
        <v>38</v>
      </c>
      <c r="K50">
        <v>121</v>
      </c>
      <c r="L50" s="36" t="str">
        <f>Překlady!$C$31</f>
        <v>Biela</v>
      </c>
      <c r="M50" t="s">
        <v>27</v>
      </c>
      <c r="N50">
        <v>650</v>
      </c>
      <c r="O50" s="5" t="str">
        <f t="shared" si="1"/>
        <v>Biela_sklo_ne_121_650</v>
      </c>
      <c r="P50" s="3" t="s">
        <v>182</v>
      </c>
      <c r="Q50" t="str">
        <f t="shared" si="2"/>
        <v>K-StrongMax 18 121/650mm 40kg, biela</v>
      </c>
    </row>
    <row r="51" spans="2:17" x14ac:dyDescent="0.25">
      <c r="B51" t="str">
        <f t="shared" si="0"/>
        <v>K-StrongMax 18 185/300mm 40kg, biela</v>
      </c>
      <c r="C51" s="3" t="s">
        <v>183</v>
      </c>
      <c r="D51" s="3" t="s">
        <v>87</v>
      </c>
      <c r="E51" s="3" t="s">
        <v>280</v>
      </c>
      <c r="F51" s="3" t="s">
        <v>376</v>
      </c>
      <c r="G51" s="3" t="s">
        <v>451</v>
      </c>
      <c r="H51" s="3" t="s">
        <v>526</v>
      </c>
      <c r="I51" s="3" t="s">
        <v>36</v>
      </c>
      <c r="K51">
        <v>185</v>
      </c>
      <c r="L51" s="36" t="str">
        <f>Překlady!$C$31</f>
        <v>Biela</v>
      </c>
      <c r="M51" t="s">
        <v>27</v>
      </c>
      <c r="N51">
        <v>300</v>
      </c>
      <c r="O51" s="5" t="str">
        <f t="shared" si="1"/>
        <v>Biela_sklo_ne_185_300</v>
      </c>
      <c r="P51" s="3" t="s">
        <v>183</v>
      </c>
      <c r="Q51" t="str">
        <f t="shared" si="2"/>
        <v>K-StrongMax 18 185/300mm 40kg, biela</v>
      </c>
    </row>
    <row r="52" spans="2:17" x14ac:dyDescent="0.25">
      <c r="B52" t="str">
        <f t="shared" si="0"/>
        <v>K-StrongMax 18 185/350mm 40kg, biela</v>
      </c>
      <c r="C52" s="3" t="s">
        <v>184</v>
      </c>
      <c r="D52" s="3" t="s">
        <v>88</v>
      </c>
      <c r="E52" s="3" t="s">
        <v>281</v>
      </c>
      <c r="F52" s="3" t="s">
        <v>377</v>
      </c>
      <c r="G52" s="3" t="s">
        <v>452</v>
      </c>
      <c r="H52" s="3" t="s">
        <v>527</v>
      </c>
      <c r="I52" s="3" t="s">
        <v>36</v>
      </c>
      <c r="K52">
        <v>185</v>
      </c>
      <c r="L52" s="36" t="str">
        <f>Překlady!$C$31</f>
        <v>Biela</v>
      </c>
      <c r="M52" t="s">
        <v>27</v>
      </c>
      <c r="N52">
        <v>350</v>
      </c>
      <c r="O52" s="5" t="str">
        <f t="shared" si="1"/>
        <v>Biela_sklo_ne_185_350</v>
      </c>
      <c r="P52" s="3" t="s">
        <v>184</v>
      </c>
      <c r="Q52" t="str">
        <f t="shared" si="2"/>
        <v>K-StrongMax 18 185/350mm 40kg, biela</v>
      </c>
    </row>
    <row r="53" spans="2:17" x14ac:dyDescent="0.25">
      <c r="B53" t="str">
        <f t="shared" si="0"/>
        <v>K-StrongMax 18 185/400mm 40kg, biela</v>
      </c>
      <c r="C53" s="3" t="s">
        <v>185</v>
      </c>
      <c r="D53" s="3" t="s">
        <v>89</v>
      </c>
      <c r="E53" s="3" t="s">
        <v>282</v>
      </c>
      <c r="F53" s="3" t="s">
        <v>378</v>
      </c>
      <c r="G53" s="3" t="s">
        <v>453</v>
      </c>
      <c r="H53" s="3" t="s">
        <v>528</v>
      </c>
      <c r="I53" s="3" t="s">
        <v>36</v>
      </c>
      <c r="K53">
        <v>185</v>
      </c>
      <c r="L53" s="36" t="str">
        <f>Překlady!$C$31</f>
        <v>Biela</v>
      </c>
      <c r="M53" t="s">
        <v>27</v>
      </c>
      <c r="N53">
        <v>400</v>
      </c>
      <c r="O53" s="5" t="str">
        <f t="shared" si="1"/>
        <v>Biela_sklo_ne_185_400</v>
      </c>
      <c r="P53" s="3" t="s">
        <v>185</v>
      </c>
      <c r="Q53" t="str">
        <f t="shared" si="2"/>
        <v>K-StrongMax 18 185/400mm 40kg, biela</v>
      </c>
    </row>
    <row r="54" spans="2:17" x14ac:dyDescent="0.25">
      <c r="B54" t="str">
        <f t="shared" si="0"/>
        <v>K-StrongMax 18 185/450mm 40kg, biela</v>
      </c>
      <c r="C54" s="3" t="s">
        <v>186</v>
      </c>
      <c r="D54" s="3" t="s">
        <v>90</v>
      </c>
      <c r="E54" s="3" t="s">
        <v>283</v>
      </c>
      <c r="F54" s="3" t="s">
        <v>379</v>
      </c>
      <c r="G54" s="3" t="s">
        <v>454</v>
      </c>
      <c r="H54" s="3" t="s">
        <v>529</v>
      </c>
      <c r="I54" s="3" t="s">
        <v>36</v>
      </c>
      <c r="K54">
        <v>185</v>
      </c>
      <c r="L54" s="36" t="str">
        <f>Překlady!$C$31</f>
        <v>Biela</v>
      </c>
      <c r="M54" t="s">
        <v>27</v>
      </c>
      <c r="N54">
        <v>450</v>
      </c>
      <c r="O54" s="5" t="str">
        <f t="shared" si="1"/>
        <v>Biela_sklo_ne_185_450</v>
      </c>
      <c r="P54" s="3" t="s">
        <v>186</v>
      </c>
      <c r="Q54" t="str">
        <f t="shared" si="2"/>
        <v>K-StrongMax 18 185/450mm 40kg, biela</v>
      </c>
    </row>
    <row r="55" spans="2:17" x14ac:dyDescent="0.25">
      <c r="B55" t="str">
        <f t="shared" si="0"/>
        <v>K-StrongMax 18 185/500mm 40kg, biela</v>
      </c>
      <c r="C55" s="3" t="s">
        <v>187</v>
      </c>
      <c r="D55" s="3" t="s">
        <v>91</v>
      </c>
      <c r="E55" s="3" t="s">
        <v>284</v>
      </c>
      <c r="F55" s="3" t="s">
        <v>380</v>
      </c>
      <c r="G55" s="3" t="s">
        <v>455</v>
      </c>
      <c r="H55" s="3" t="s">
        <v>530</v>
      </c>
      <c r="I55" s="3" t="s">
        <v>36</v>
      </c>
      <c r="K55">
        <v>185</v>
      </c>
      <c r="L55" s="36" t="str">
        <f>Překlady!$C$31</f>
        <v>Biela</v>
      </c>
      <c r="M55" t="s">
        <v>27</v>
      </c>
      <c r="N55">
        <v>500</v>
      </c>
      <c r="O55" s="5" t="str">
        <f t="shared" si="1"/>
        <v>Biela_sklo_ne_185_500</v>
      </c>
      <c r="P55" s="3" t="s">
        <v>187</v>
      </c>
      <c r="Q55" t="str">
        <f t="shared" si="2"/>
        <v>K-StrongMax 18 185/500mm 40kg, biela</v>
      </c>
    </row>
    <row r="56" spans="2:17" x14ac:dyDescent="0.25">
      <c r="B56" t="str">
        <f t="shared" si="0"/>
        <v>K-StrongMax 18 185/550mm 40kg, biela</v>
      </c>
      <c r="C56" s="3" t="s">
        <v>188</v>
      </c>
      <c r="D56" s="3" t="s">
        <v>92</v>
      </c>
      <c r="E56" s="3" t="s">
        <v>285</v>
      </c>
      <c r="F56" s="3" t="s">
        <v>381</v>
      </c>
      <c r="G56" s="3" t="s">
        <v>456</v>
      </c>
      <c r="H56" s="3" t="s">
        <v>531</v>
      </c>
      <c r="I56" s="3" t="s">
        <v>36</v>
      </c>
      <c r="K56">
        <v>185</v>
      </c>
      <c r="L56" s="36" t="str">
        <f>Překlady!$C$31</f>
        <v>Biela</v>
      </c>
      <c r="M56" t="s">
        <v>27</v>
      </c>
      <c r="N56">
        <v>550</v>
      </c>
      <c r="O56" s="5" t="str">
        <f t="shared" si="1"/>
        <v>Biela_sklo_ne_185_550</v>
      </c>
      <c r="P56" s="3" t="s">
        <v>188</v>
      </c>
      <c r="Q56" t="str">
        <f t="shared" si="2"/>
        <v>K-StrongMax 18 185/550mm 40kg, biela</v>
      </c>
    </row>
    <row r="57" spans="2:17" x14ac:dyDescent="0.25">
      <c r="B57" t="str">
        <f t="shared" si="0"/>
        <v>K-StrongMax 18 185/600mm 40kg, biela</v>
      </c>
      <c r="C57" s="3" t="s">
        <v>189</v>
      </c>
      <c r="D57" s="3" t="s">
        <v>93</v>
      </c>
      <c r="E57" s="3" t="s">
        <v>286</v>
      </c>
      <c r="F57" s="3" t="s">
        <v>382</v>
      </c>
      <c r="G57" s="3" t="s">
        <v>457</v>
      </c>
      <c r="H57" s="3" t="s">
        <v>532</v>
      </c>
      <c r="I57" s="3" t="s">
        <v>36</v>
      </c>
      <c r="K57">
        <v>185</v>
      </c>
      <c r="L57" s="36" t="str">
        <f>Překlady!$C$31</f>
        <v>Biela</v>
      </c>
      <c r="M57" t="s">
        <v>27</v>
      </c>
      <c r="N57">
        <v>600</v>
      </c>
      <c r="O57" s="5" t="str">
        <f t="shared" si="1"/>
        <v>Biela_sklo_ne_185_600</v>
      </c>
      <c r="P57" s="3" t="s">
        <v>189</v>
      </c>
      <c r="Q57" t="str">
        <f t="shared" si="2"/>
        <v>K-StrongMax 18 185/600mm 40kg, biela</v>
      </c>
    </row>
    <row r="58" spans="2:17" x14ac:dyDescent="0.25">
      <c r="B58" t="str">
        <f t="shared" si="0"/>
        <v>K-StrongMax 18 185/650mm 40kg, biela</v>
      </c>
      <c r="C58" s="3" t="s">
        <v>190</v>
      </c>
      <c r="D58" s="3" t="s">
        <v>94</v>
      </c>
      <c r="E58" s="3" t="s">
        <v>287</v>
      </c>
      <c r="F58" s="3" t="s">
        <v>383</v>
      </c>
      <c r="G58" s="3" t="s">
        <v>458</v>
      </c>
      <c r="H58" s="3" t="s">
        <v>533</v>
      </c>
      <c r="I58" s="3" t="s">
        <v>36</v>
      </c>
      <c r="K58">
        <v>185</v>
      </c>
      <c r="L58" s="36" t="str">
        <f>Překlady!$C$31</f>
        <v>Biela</v>
      </c>
      <c r="M58" t="s">
        <v>27</v>
      </c>
      <c r="N58">
        <v>650</v>
      </c>
      <c r="O58" s="5" t="str">
        <f t="shared" si="1"/>
        <v>Biela_sklo_ne_185_650</v>
      </c>
      <c r="P58" s="3" t="s">
        <v>190</v>
      </c>
      <c r="Q58" t="str">
        <f t="shared" si="2"/>
        <v>K-StrongMax 18 185/650mm 40kg, biela</v>
      </c>
    </row>
    <row r="59" spans="2:17" x14ac:dyDescent="0.25">
      <c r="B59" t="str">
        <f t="shared" si="0"/>
        <v>K-StrongMax 18 249/450mm 40kg, biela</v>
      </c>
      <c r="C59" s="3" t="s">
        <v>191</v>
      </c>
      <c r="D59" s="3" t="s">
        <v>95</v>
      </c>
      <c r="E59" s="3" t="s">
        <v>288</v>
      </c>
      <c r="F59" s="3" t="s">
        <v>384</v>
      </c>
      <c r="G59" s="3" t="s">
        <v>459</v>
      </c>
      <c r="H59" s="3" t="s">
        <v>534</v>
      </c>
      <c r="I59" s="3" t="s">
        <v>36</v>
      </c>
      <c r="K59">
        <v>249</v>
      </c>
      <c r="L59" s="36" t="str">
        <f>Překlady!$C$31</f>
        <v>Biela</v>
      </c>
      <c r="M59" t="s">
        <v>27</v>
      </c>
      <c r="N59">
        <v>450</v>
      </c>
      <c r="O59" s="5" t="str">
        <f t="shared" si="1"/>
        <v>Biela_sklo_ne_249_450</v>
      </c>
      <c r="P59" s="3" t="s">
        <v>191</v>
      </c>
      <c r="Q59" t="str">
        <f t="shared" si="2"/>
        <v>K-StrongMax 18 249/450mm 40kg, biela</v>
      </c>
    </row>
    <row r="60" spans="2:17" x14ac:dyDescent="0.25">
      <c r="B60" t="str">
        <f t="shared" si="0"/>
        <v>K-StrongMax 18 249/500mm 40kg, biela</v>
      </c>
      <c r="C60" s="3" t="s">
        <v>192</v>
      </c>
      <c r="D60" s="3" t="s">
        <v>96</v>
      </c>
      <c r="E60" s="3" t="s">
        <v>289</v>
      </c>
      <c r="F60" s="3" t="s">
        <v>385</v>
      </c>
      <c r="G60" s="3" t="s">
        <v>460</v>
      </c>
      <c r="H60" s="3" t="s">
        <v>535</v>
      </c>
      <c r="I60" s="3" t="s">
        <v>36</v>
      </c>
      <c r="K60">
        <v>249</v>
      </c>
      <c r="L60" s="36" t="str">
        <f>Překlady!$C$31</f>
        <v>Biela</v>
      </c>
      <c r="M60" t="s">
        <v>27</v>
      </c>
      <c r="N60">
        <v>500</v>
      </c>
      <c r="O60" s="5" t="str">
        <f t="shared" si="1"/>
        <v>Biela_sklo_ne_249_500</v>
      </c>
      <c r="P60" s="3" t="s">
        <v>192</v>
      </c>
      <c r="Q60" t="str">
        <f t="shared" si="2"/>
        <v>K-StrongMax 18 249/500mm 40kg, biela</v>
      </c>
    </row>
    <row r="61" spans="2:17" x14ac:dyDescent="0.25">
      <c r="B61" t="str">
        <f t="shared" si="0"/>
        <v>K-StrongMax 18 249/550mm 40kg, biela</v>
      </c>
      <c r="C61" s="3" t="s">
        <v>193</v>
      </c>
      <c r="D61" s="3" t="s">
        <v>97</v>
      </c>
      <c r="E61" s="3" t="s">
        <v>290</v>
      </c>
      <c r="F61" s="3" t="s">
        <v>386</v>
      </c>
      <c r="G61" s="3" t="s">
        <v>461</v>
      </c>
      <c r="H61" s="3" t="s">
        <v>536</v>
      </c>
      <c r="I61" s="3" t="s">
        <v>36</v>
      </c>
      <c r="K61">
        <v>249</v>
      </c>
      <c r="L61" s="36" t="str">
        <f>Překlady!$C$31</f>
        <v>Biela</v>
      </c>
      <c r="M61" t="s">
        <v>27</v>
      </c>
      <c r="N61">
        <v>550</v>
      </c>
      <c r="O61" s="5" t="str">
        <f t="shared" si="1"/>
        <v>Biela_sklo_ne_249_550</v>
      </c>
      <c r="P61" s="3" t="s">
        <v>193</v>
      </c>
      <c r="Q61" t="str">
        <f t="shared" si="2"/>
        <v>K-StrongMax 18 249/550mm 40kg, biela</v>
      </c>
    </row>
    <row r="62" spans="2:17" x14ac:dyDescent="0.25">
      <c r="B62" t="str">
        <f t="shared" si="0"/>
        <v>K-StrongMax 18 249/600mm 40kg, biela</v>
      </c>
      <c r="C62" s="3" t="s">
        <v>194</v>
      </c>
      <c r="D62" s="3" t="s">
        <v>98</v>
      </c>
      <c r="E62" s="3" t="s">
        <v>291</v>
      </c>
      <c r="F62" s="3" t="s">
        <v>387</v>
      </c>
      <c r="G62" s="3" t="s">
        <v>462</v>
      </c>
      <c r="H62" s="3" t="s">
        <v>537</v>
      </c>
      <c r="I62" s="3" t="s">
        <v>36</v>
      </c>
      <c r="K62">
        <v>249</v>
      </c>
      <c r="L62" s="36" t="str">
        <f>Překlady!$C$31</f>
        <v>Biela</v>
      </c>
      <c r="M62" t="s">
        <v>27</v>
      </c>
      <c r="N62">
        <v>600</v>
      </c>
      <c r="O62" s="5" t="str">
        <f t="shared" si="1"/>
        <v>Biela_sklo_ne_249_600</v>
      </c>
      <c r="P62" s="3" t="s">
        <v>194</v>
      </c>
      <c r="Q62" t="str">
        <f t="shared" si="2"/>
        <v>K-StrongMax 18 249/600mm 40kg, biela</v>
      </c>
    </row>
    <row r="63" spans="2:17" x14ac:dyDescent="0.25">
      <c r="B63" t="str">
        <f t="shared" si="0"/>
        <v>K-StrongMax 18 249/650mm 40kg, biela</v>
      </c>
      <c r="C63" s="3" t="s">
        <v>195</v>
      </c>
      <c r="D63" s="3" t="s">
        <v>99</v>
      </c>
      <c r="E63" s="3" t="s">
        <v>292</v>
      </c>
      <c r="F63" s="3" t="s">
        <v>388</v>
      </c>
      <c r="G63" s="3" t="s">
        <v>463</v>
      </c>
      <c r="H63" s="3" t="s">
        <v>538</v>
      </c>
      <c r="I63" s="3" t="s">
        <v>38</v>
      </c>
      <c r="K63">
        <v>249</v>
      </c>
      <c r="L63" s="36" t="str">
        <f>Překlady!$C$31</f>
        <v>Biela</v>
      </c>
      <c r="M63" t="s">
        <v>27</v>
      </c>
      <c r="N63">
        <v>650</v>
      </c>
      <c r="O63" s="5" t="str">
        <f t="shared" si="1"/>
        <v>Biela_sklo_ne_249_650</v>
      </c>
      <c r="P63" s="3" t="s">
        <v>195</v>
      </c>
      <c r="Q63" t="str">
        <f t="shared" si="2"/>
        <v>K-StrongMax 18 249/650mm 40kg, biela</v>
      </c>
    </row>
    <row r="64" spans="2:17" x14ac:dyDescent="0.25">
      <c r="B64" t="str">
        <f t="shared" si="0"/>
        <v>K-StrongMax 18 185/450mm 40kg, presklená bočnica, biela</v>
      </c>
      <c r="C64" s="3" t="s">
        <v>196</v>
      </c>
      <c r="D64" s="3" t="s">
        <v>100</v>
      </c>
      <c r="E64" s="3" t="s">
        <v>293</v>
      </c>
      <c r="F64" s="3" t="s">
        <v>389</v>
      </c>
      <c r="G64" s="3" t="s">
        <v>464</v>
      </c>
      <c r="H64" s="3" t="s">
        <v>539</v>
      </c>
      <c r="I64" s="3" t="s">
        <v>38</v>
      </c>
      <c r="K64">
        <v>185</v>
      </c>
      <c r="L64" s="36" t="str">
        <f>Překlady!$C$31</f>
        <v>Biela</v>
      </c>
      <c r="M64" t="s">
        <v>25</v>
      </c>
      <c r="N64">
        <v>450</v>
      </c>
      <c r="O64" s="5" t="str">
        <f t="shared" si="1"/>
        <v>Biela_sklo_ano_185_450</v>
      </c>
      <c r="P64" s="3" t="s">
        <v>196</v>
      </c>
      <c r="Q64" t="str">
        <f t="shared" si="2"/>
        <v>K-StrongMax 18 185/450mm 40kg, presklená bočnica, biela</v>
      </c>
    </row>
    <row r="65" spans="2:17" x14ac:dyDescent="0.25">
      <c r="B65" t="str">
        <f t="shared" si="0"/>
        <v>K-StrongMax 18 185/500mm 40kg, presklená bočnica, biela</v>
      </c>
      <c r="C65" s="3" t="s">
        <v>197</v>
      </c>
      <c r="D65" s="4" t="s">
        <v>101</v>
      </c>
      <c r="E65" s="3" t="s">
        <v>294</v>
      </c>
      <c r="F65" s="3" t="s">
        <v>390</v>
      </c>
      <c r="G65" s="3" t="s">
        <v>465</v>
      </c>
      <c r="H65" s="3" t="s">
        <v>540</v>
      </c>
      <c r="I65" s="3" t="s">
        <v>38</v>
      </c>
      <c r="K65">
        <v>185</v>
      </c>
      <c r="L65" s="36" t="str">
        <f>Překlady!$C$31</f>
        <v>Biela</v>
      </c>
      <c r="M65" t="s">
        <v>25</v>
      </c>
      <c r="N65">
        <v>500</v>
      </c>
      <c r="O65" s="5" t="str">
        <f t="shared" si="1"/>
        <v>Biela_sklo_ano_185_500</v>
      </c>
      <c r="P65" s="3" t="s">
        <v>197</v>
      </c>
      <c r="Q65" t="str">
        <f t="shared" si="2"/>
        <v>K-StrongMax 18 185/500mm 40kg, presklená bočnica, biela</v>
      </c>
    </row>
    <row r="66" spans="2:17" x14ac:dyDescent="0.25">
      <c r="B66" t="str">
        <f t="shared" si="0"/>
        <v>K-StrongMax 18 185/550mm 40kg, presklená bočnica, biela</v>
      </c>
      <c r="C66" s="3" t="s">
        <v>198</v>
      </c>
      <c r="D66" s="3" t="s">
        <v>102</v>
      </c>
      <c r="E66" s="3" t="s">
        <v>295</v>
      </c>
      <c r="F66" s="3" t="s">
        <v>391</v>
      </c>
      <c r="G66" s="3" t="s">
        <v>466</v>
      </c>
      <c r="H66" s="3" t="s">
        <v>541</v>
      </c>
      <c r="I66" s="3" t="s">
        <v>38</v>
      </c>
      <c r="K66">
        <v>185</v>
      </c>
      <c r="L66" s="36" t="str">
        <f>Překlady!$C$31</f>
        <v>Biela</v>
      </c>
      <c r="M66" t="s">
        <v>25</v>
      </c>
      <c r="N66">
        <v>550</v>
      </c>
      <c r="O66" s="5" t="str">
        <f t="shared" si="1"/>
        <v>Biela_sklo_ano_185_550</v>
      </c>
      <c r="P66" s="3" t="s">
        <v>198</v>
      </c>
      <c r="Q66" t="str">
        <f t="shared" si="2"/>
        <v>K-StrongMax 18 185/550mm 40kg, presklená bočnica, biela</v>
      </c>
    </row>
    <row r="67" spans="2:17" x14ac:dyDescent="0.25">
      <c r="B67" t="str">
        <f t="shared" si="0"/>
        <v>K-StrongMax 18 89/450mm 40kg, čierna</v>
      </c>
      <c r="C67" s="3" t="s">
        <v>199</v>
      </c>
      <c r="D67" s="3" t="s">
        <v>103</v>
      </c>
      <c r="E67" s="3" t="s">
        <v>296</v>
      </c>
      <c r="F67" s="3" t="s">
        <v>392</v>
      </c>
      <c r="G67" s="3" t="s">
        <v>467</v>
      </c>
      <c r="H67" s="3" t="s">
        <v>542</v>
      </c>
      <c r="I67" s="3" t="s">
        <v>38</v>
      </c>
      <c r="K67">
        <v>89</v>
      </c>
      <c r="L67" s="36" t="str">
        <f>Překlady!$C$32</f>
        <v>Čierna</v>
      </c>
      <c r="M67" t="s">
        <v>27</v>
      </c>
      <c r="N67">
        <v>450</v>
      </c>
      <c r="O67" s="5" t="str">
        <f t="shared" si="1"/>
        <v>Čierna_sklo_ne_89_450</v>
      </c>
      <c r="P67" s="3" t="s">
        <v>199</v>
      </c>
      <c r="Q67" t="str">
        <f t="shared" si="2"/>
        <v>K-StrongMax 18 89/450mm 40kg, čierna</v>
      </c>
    </row>
    <row r="68" spans="2:17" x14ac:dyDescent="0.25">
      <c r="B68" t="str">
        <f t="shared" ref="B68:B100" si="3">IF($D$1=1,D:D,IF($D$1=2,E:E,IF($D$1=3,F:F,IF($D$1=4,G:G,IF($D$1=5,H:H)))))</f>
        <v>K-StrongMax 18 89/500mm 40kg, čierna</v>
      </c>
      <c r="C68" s="3" t="s">
        <v>200</v>
      </c>
      <c r="D68" s="3" t="s">
        <v>104</v>
      </c>
      <c r="E68" s="3" t="s">
        <v>297</v>
      </c>
      <c r="F68" s="3" t="s">
        <v>393</v>
      </c>
      <c r="G68" s="3" t="s">
        <v>468</v>
      </c>
      <c r="H68" s="3" t="s">
        <v>543</v>
      </c>
      <c r="I68" s="3" t="s">
        <v>36</v>
      </c>
      <c r="K68">
        <v>89</v>
      </c>
      <c r="L68" s="36" t="str">
        <f>Překlady!$C$32</f>
        <v>Čierna</v>
      </c>
      <c r="M68" t="s">
        <v>27</v>
      </c>
      <c r="N68">
        <v>500</v>
      </c>
      <c r="O68" s="5" t="str">
        <f t="shared" ref="O68:O98" si="4">_xlfn.CONCAT(L68,"_sklo_",M68,"_",K68,"_",N68)</f>
        <v>Čierna_sklo_ne_89_500</v>
      </c>
      <c r="P68" s="3" t="s">
        <v>200</v>
      </c>
      <c r="Q68" t="str">
        <f t="shared" ref="Q68:Q98" si="5">B68</f>
        <v>K-StrongMax 18 89/500mm 40kg, čierna</v>
      </c>
    </row>
    <row r="69" spans="2:17" x14ac:dyDescent="0.25">
      <c r="B69" t="str">
        <f t="shared" si="3"/>
        <v>K-StrongMax 18 121/450mm 40kg, čierna</v>
      </c>
      <c r="C69" s="3" t="s">
        <v>201</v>
      </c>
      <c r="D69" s="3" t="s">
        <v>105</v>
      </c>
      <c r="E69" s="3" t="s">
        <v>298</v>
      </c>
      <c r="F69" s="3" t="s">
        <v>394</v>
      </c>
      <c r="G69" s="3" t="s">
        <v>469</v>
      </c>
      <c r="H69" s="3" t="s">
        <v>544</v>
      </c>
      <c r="I69" s="3" t="s">
        <v>38</v>
      </c>
      <c r="K69">
        <v>121</v>
      </c>
      <c r="L69" s="36" t="str">
        <f>Překlady!$C$32</f>
        <v>Čierna</v>
      </c>
      <c r="M69" t="s">
        <v>27</v>
      </c>
      <c r="N69">
        <v>450</v>
      </c>
      <c r="O69" s="5" t="str">
        <f t="shared" si="4"/>
        <v>Čierna_sklo_ne_121_450</v>
      </c>
      <c r="P69" s="3" t="s">
        <v>201</v>
      </c>
      <c r="Q69" t="str">
        <f t="shared" si="5"/>
        <v>K-StrongMax 18 121/450mm 40kg, čierna</v>
      </c>
    </row>
    <row r="70" spans="2:17" x14ac:dyDescent="0.25">
      <c r="B70" t="str">
        <f t="shared" si="3"/>
        <v>K-StrongMax 18 121/500mm 40kg, čierna</v>
      </c>
      <c r="C70" s="3" t="s">
        <v>202</v>
      </c>
      <c r="D70" s="3" t="s">
        <v>106</v>
      </c>
      <c r="E70" s="3" t="s">
        <v>299</v>
      </c>
      <c r="F70" s="3" t="s">
        <v>395</v>
      </c>
      <c r="G70" s="3" t="s">
        <v>470</v>
      </c>
      <c r="H70" s="3" t="s">
        <v>545</v>
      </c>
      <c r="I70" s="3" t="s">
        <v>36</v>
      </c>
      <c r="K70">
        <v>121</v>
      </c>
      <c r="L70" s="36" t="str">
        <f>Překlady!$C$32</f>
        <v>Čierna</v>
      </c>
      <c r="M70" t="s">
        <v>27</v>
      </c>
      <c r="N70">
        <v>500</v>
      </c>
      <c r="O70" s="5" t="str">
        <f t="shared" si="4"/>
        <v>Čierna_sklo_ne_121_500</v>
      </c>
      <c r="P70" s="3" t="s">
        <v>202</v>
      </c>
      <c r="Q70" t="str">
        <f t="shared" si="5"/>
        <v>K-StrongMax 18 121/500mm 40kg, čierna</v>
      </c>
    </row>
    <row r="71" spans="2:17" x14ac:dyDescent="0.25">
      <c r="B71" t="str">
        <f t="shared" si="3"/>
        <v>K-StrongMax 18 185/450mm 40kg, čierna</v>
      </c>
      <c r="C71" s="3" t="s">
        <v>203</v>
      </c>
      <c r="D71" s="3" t="s">
        <v>107</v>
      </c>
      <c r="E71" s="3" t="s">
        <v>300</v>
      </c>
      <c r="F71" s="3" t="s">
        <v>396</v>
      </c>
      <c r="G71" s="3" t="s">
        <v>471</v>
      </c>
      <c r="H71" s="3" t="s">
        <v>546</v>
      </c>
      <c r="I71" s="3" t="s">
        <v>36</v>
      </c>
      <c r="K71">
        <v>185</v>
      </c>
      <c r="L71" s="36" t="str">
        <f>Překlady!$C$32</f>
        <v>Čierna</v>
      </c>
      <c r="M71" t="s">
        <v>27</v>
      </c>
      <c r="N71">
        <v>450</v>
      </c>
      <c r="O71" s="5" t="str">
        <f t="shared" si="4"/>
        <v>Čierna_sklo_ne_185_450</v>
      </c>
      <c r="P71" s="3" t="s">
        <v>203</v>
      </c>
      <c r="Q71" t="str">
        <f t="shared" si="5"/>
        <v>K-StrongMax 18 185/450mm 40kg, čierna</v>
      </c>
    </row>
    <row r="72" spans="2:17" x14ac:dyDescent="0.25">
      <c r="B72" t="str">
        <f t="shared" si="3"/>
        <v>K-StrongMax 18 185/500mm 40kg, čierna</v>
      </c>
      <c r="C72" s="3" t="s">
        <v>204</v>
      </c>
      <c r="D72" s="3" t="s">
        <v>108</v>
      </c>
      <c r="E72" s="3" t="s">
        <v>301</v>
      </c>
      <c r="F72" s="3" t="s">
        <v>397</v>
      </c>
      <c r="G72" s="3" t="s">
        <v>472</v>
      </c>
      <c r="H72" s="3" t="s">
        <v>547</v>
      </c>
      <c r="I72" s="3" t="s">
        <v>36</v>
      </c>
      <c r="K72">
        <v>185</v>
      </c>
      <c r="L72" s="36" t="str">
        <f>Překlady!$C$32</f>
        <v>Čierna</v>
      </c>
      <c r="M72" t="s">
        <v>27</v>
      </c>
      <c r="N72">
        <v>500</v>
      </c>
      <c r="O72" s="5" t="str">
        <f t="shared" si="4"/>
        <v>Čierna_sklo_ne_185_500</v>
      </c>
      <c r="P72" s="3" t="s">
        <v>204</v>
      </c>
      <c r="Q72" t="str">
        <f t="shared" si="5"/>
        <v>K-StrongMax 18 185/500mm 40kg, čierna</v>
      </c>
    </row>
    <row r="73" spans="2:17" x14ac:dyDescent="0.25">
      <c r="B73" t="str">
        <f t="shared" si="3"/>
        <v>K-StrongMax 18 249/450mm 40kg, čierna</v>
      </c>
      <c r="C73" s="3" t="s">
        <v>205</v>
      </c>
      <c r="D73" s="3" t="s">
        <v>109</v>
      </c>
      <c r="E73" s="3" t="s">
        <v>302</v>
      </c>
      <c r="F73" s="3" t="s">
        <v>398</v>
      </c>
      <c r="G73" s="3" t="s">
        <v>473</v>
      </c>
      <c r="H73" s="3" t="s">
        <v>548</v>
      </c>
      <c r="I73" s="3" t="s">
        <v>38</v>
      </c>
      <c r="K73">
        <v>249</v>
      </c>
      <c r="L73" s="36" t="str">
        <f>Překlady!$C$32</f>
        <v>Čierna</v>
      </c>
      <c r="M73" t="s">
        <v>27</v>
      </c>
      <c r="N73">
        <v>450</v>
      </c>
      <c r="O73" s="5" t="str">
        <f t="shared" si="4"/>
        <v>Čierna_sklo_ne_249_450</v>
      </c>
      <c r="P73" s="3" t="s">
        <v>205</v>
      </c>
      <c r="Q73" t="str">
        <f t="shared" si="5"/>
        <v>K-StrongMax 18 249/450mm 40kg, čierna</v>
      </c>
    </row>
    <row r="74" spans="2:17" x14ac:dyDescent="0.25">
      <c r="B74" t="str">
        <f t="shared" si="3"/>
        <v>K-StrongMax 18 249/500mm 40kg, čierna</v>
      </c>
      <c r="C74" s="3" t="s">
        <v>206</v>
      </c>
      <c r="D74" s="3" t="s">
        <v>110</v>
      </c>
      <c r="E74" s="3" t="s">
        <v>303</v>
      </c>
      <c r="F74" s="3" t="s">
        <v>399</v>
      </c>
      <c r="G74" s="3" t="s">
        <v>474</v>
      </c>
      <c r="H74" s="3" t="s">
        <v>549</v>
      </c>
      <c r="I74" s="3" t="s">
        <v>36</v>
      </c>
      <c r="K74">
        <v>249</v>
      </c>
      <c r="L74" s="36" t="str">
        <f>Překlady!$C$32</f>
        <v>Čierna</v>
      </c>
      <c r="M74" t="s">
        <v>27</v>
      </c>
      <c r="N74">
        <v>500</v>
      </c>
      <c r="O74" s="5" t="str">
        <f t="shared" si="4"/>
        <v>Čierna_sklo_ne_249_500</v>
      </c>
      <c r="P74" s="3" t="s">
        <v>206</v>
      </c>
      <c r="Q74" t="str">
        <f t="shared" si="5"/>
        <v>K-StrongMax 18 249/500mm 40kg, čierna</v>
      </c>
    </row>
    <row r="75" spans="2:17" x14ac:dyDescent="0.25">
      <c r="B75" t="str">
        <f t="shared" si="3"/>
        <v>K-StrongMax 18 185/450mm 40kg, presklená bočnica, čierna</v>
      </c>
      <c r="C75" s="3" t="s">
        <v>207</v>
      </c>
      <c r="D75" s="3" t="s">
        <v>111</v>
      </c>
      <c r="E75" s="3" t="s">
        <v>304</v>
      </c>
      <c r="F75" s="3" t="s">
        <v>400</v>
      </c>
      <c r="G75" s="3" t="s">
        <v>475</v>
      </c>
      <c r="H75" s="3" t="s">
        <v>550</v>
      </c>
      <c r="I75" s="3" t="s">
        <v>38</v>
      </c>
      <c r="K75">
        <v>185</v>
      </c>
      <c r="L75" s="36" t="str">
        <f>Překlady!$C$32</f>
        <v>Čierna</v>
      </c>
      <c r="M75" t="s">
        <v>25</v>
      </c>
      <c r="N75">
        <v>450</v>
      </c>
      <c r="O75" s="5" t="str">
        <f t="shared" si="4"/>
        <v>Čierna_sklo_ano_185_450</v>
      </c>
      <c r="P75" s="3" t="s">
        <v>207</v>
      </c>
      <c r="Q75" t="str">
        <f t="shared" si="5"/>
        <v>K-StrongMax 18 185/450mm 40kg, presklená bočnica, čierna</v>
      </c>
    </row>
    <row r="76" spans="2:17" x14ac:dyDescent="0.25">
      <c r="B76" t="str">
        <f t="shared" si="3"/>
        <v>K-StrongMax 18 185/500mm 40kg, presklená bočnica, čierna</v>
      </c>
      <c r="C76" s="3" t="s">
        <v>208</v>
      </c>
      <c r="D76" s="3" t="s">
        <v>112</v>
      </c>
      <c r="E76" s="3" t="s">
        <v>305</v>
      </c>
      <c r="F76" s="3" t="s">
        <v>401</v>
      </c>
      <c r="G76" s="3" t="s">
        <v>476</v>
      </c>
      <c r="H76" s="3" t="s">
        <v>551</v>
      </c>
      <c r="I76" s="3" t="s">
        <v>38</v>
      </c>
      <c r="K76">
        <v>185</v>
      </c>
      <c r="L76" s="36" t="str">
        <f>Překlady!$C$32</f>
        <v>Čierna</v>
      </c>
      <c r="M76" t="s">
        <v>25</v>
      </c>
      <c r="N76">
        <v>500</v>
      </c>
      <c r="O76" s="5" t="str">
        <f t="shared" si="4"/>
        <v>Čierna_sklo_ano_185_500</v>
      </c>
      <c r="P76" s="3" t="s">
        <v>208</v>
      </c>
      <c r="Q76" t="str">
        <f t="shared" si="5"/>
        <v>K-StrongMax 18 185/500mm 40kg, presklená bočnica, čierna</v>
      </c>
    </row>
    <row r="77" spans="2:17" x14ac:dyDescent="0.25">
      <c r="B77" t="str">
        <f t="shared" si="3"/>
        <v>K-StrongMax 18 121/300mm 40kg,čierna</v>
      </c>
      <c r="C77" s="3" t="s">
        <v>209</v>
      </c>
      <c r="D77" s="3" t="s">
        <v>113</v>
      </c>
      <c r="E77" s="3" t="s">
        <v>306</v>
      </c>
      <c r="F77" s="3" t="s">
        <v>402</v>
      </c>
      <c r="G77" s="3" t="s">
        <v>402</v>
      </c>
      <c r="H77" s="3" t="s">
        <v>552</v>
      </c>
      <c r="I77" s="3" t="s">
        <v>38</v>
      </c>
      <c r="K77">
        <v>121</v>
      </c>
      <c r="L77" s="36" t="str">
        <f>Překlady!$C$32</f>
        <v>Čierna</v>
      </c>
      <c r="M77" t="s">
        <v>27</v>
      </c>
      <c r="N77">
        <v>300</v>
      </c>
      <c r="O77" s="5" t="str">
        <f t="shared" si="4"/>
        <v>Čierna_sklo_ne_121_300</v>
      </c>
      <c r="P77" s="3" t="s">
        <v>209</v>
      </c>
      <c r="Q77" t="str">
        <f t="shared" si="5"/>
        <v>K-StrongMax 18 121/300mm 40kg,čierna</v>
      </c>
    </row>
    <row r="78" spans="2:17" x14ac:dyDescent="0.25">
      <c r="B78" t="str">
        <f t="shared" si="3"/>
        <v>K-StrongMax 18 121/350mm 40kg, čierna</v>
      </c>
      <c r="C78" s="3" t="s">
        <v>210</v>
      </c>
      <c r="D78" s="3" t="s">
        <v>114</v>
      </c>
      <c r="E78" s="3" t="s">
        <v>307</v>
      </c>
      <c r="F78" s="3" t="s">
        <v>402</v>
      </c>
      <c r="G78" s="3" t="s">
        <v>402</v>
      </c>
      <c r="H78" s="3" t="s">
        <v>553</v>
      </c>
      <c r="I78" s="3" t="s">
        <v>38</v>
      </c>
      <c r="K78">
        <v>121</v>
      </c>
      <c r="L78" s="36" t="str">
        <f>Překlady!$C$32</f>
        <v>Čierna</v>
      </c>
      <c r="M78" t="s">
        <v>27</v>
      </c>
      <c r="N78">
        <v>350</v>
      </c>
      <c r="O78" s="5" t="str">
        <f t="shared" si="4"/>
        <v>Čierna_sklo_ne_121_350</v>
      </c>
      <c r="P78" s="3" t="s">
        <v>210</v>
      </c>
      <c r="Q78" t="str">
        <f t="shared" si="5"/>
        <v>K-StrongMax 18 121/350mm 40kg, čierna</v>
      </c>
    </row>
    <row r="79" spans="2:17" x14ac:dyDescent="0.25">
      <c r="B79" t="str">
        <f t="shared" si="3"/>
        <v>K-StrongMax 18 121/400mm 40kg, čierna</v>
      </c>
      <c r="C79" s="3" t="s">
        <v>211</v>
      </c>
      <c r="D79" s="3" t="s">
        <v>115</v>
      </c>
      <c r="E79" s="3" t="s">
        <v>308</v>
      </c>
      <c r="F79" s="3" t="s">
        <v>402</v>
      </c>
      <c r="G79" s="3" t="s">
        <v>402</v>
      </c>
      <c r="H79" s="3" t="s">
        <v>554</v>
      </c>
      <c r="I79" s="3" t="s">
        <v>38</v>
      </c>
      <c r="K79">
        <v>121</v>
      </c>
      <c r="L79" s="36" t="str">
        <f>Překlady!$C$32</f>
        <v>Čierna</v>
      </c>
      <c r="M79" t="s">
        <v>27</v>
      </c>
      <c r="N79">
        <v>400</v>
      </c>
      <c r="O79" s="5" t="str">
        <f t="shared" si="4"/>
        <v>Čierna_sklo_ne_121_400</v>
      </c>
      <c r="P79" s="3" t="s">
        <v>211</v>
      </c>
      <c r="Q79" t="str">
        <f t="shared" si="5"/>
        <v>K-StrongMax 18 121/400mm 40kg, čierna</v>
      </c>
    </row>
    <row r="80" spans="2:17" x14ac:dyDescent="0.25">
      <c r="B80" t="str">
        <f t="shared" si="3"/>
        <v>K-StrongMax 18 121/550mm 440kg, čierna</v>
      </c>
      <c r="C80" s="3" t="s">
        <v>212</v>
      </c>
      <c r="D80" s="3" t="s">
        <v>116</v>
      </c>
      <c r="E80" s="3" t="s">
        <v>309</v>
      </c>
      <c r="F80" s="3" t="s">
        <v>402</v>
      </c>
      <c r="G80" s="3" t="s">
        <v>402</v>
      </c>
      <c r="H80" s="3" t="s">
        <v>555</v>
      </c>
      <c r="I80" s="3" t="s">
        <v>38</v>
      </c>
      <c r="K80">
        <v>121</v>
      </c>
      <c r="L80" s="36" t="str">
        <f>Překlady!$C$32</f>
        <v>Čierna</v>
      </c>
      <c r="M80" t="s">
        <v>27</v>
      </c>
      <c r="N80">
        <v>550</v>
      </c>
      <c r="O80" s="5" t="str">
        <f t="shared" si="4"/>
        <v>Čierna_sklo_ne_121_550</v>
      </c>
      <c r="P80" s="3" t="s">
        <v>212</v>
      </c>
      <c r="Q80" t="str">
        <f t="shared" si="5"/>
        <v>K-StrongMax 18 121/550mm 440kg, čierna</v>
      </c>
    </row>
    <row r="81" spans="2:17" x14ac:dyDescent="0.25">
      <c r="B81" t="str">
        <f t="shared" si="3"/>
        <v>K-StrongMax 18 121/600mm 40kg,čierna</v>
      </c>
      <c r="C81" s="3" t="s">
        <v>213</v>
      </c>
      <c r="D81" s="3" t="s">
        <v>117</v>
      </c>
      <c r="E81" s="3" t="s">
        <v>310</v>
      </c>
      <c r="F81" s="3" t="s">
        <v>402</v>
      </c>
      <c r="G81" s="3" t="s">
        <v>402</v>
      </c>
      <c r="H81" s="3" t="s">
        <v>556</v>
      </c>
      <c r="I81" s="3" t="s">
        <v>38</v>
      </c>
      <c r="K81">
        <v>121</v>
      </c>
      <c r="L81" s="36" t="str">
        <f>Překlady!$C$32</f>
        <v>Čierna</v>
      </c>
      <c r="M81" t="s">
        <v>27</v>
      </c>
      <c r="N81">
        <v>600</v>
      </c>
      <c r="O81" s="5" t="str">
        <f t="shared" si="4"/>
        <v>Čierna_sklo_ne_121_600</v>
      </c>
      <c r="P81" s="3" t="s">
        <v>213</v>
      </c>
      <c r="Q81" t="str">
        <f t="shared" si="5"/>
        <v>K-StrongMax 18 121/600mm 40kg,čierna</v>
      </c>
    </row>
    <row r="82" spans="2:17" x14ac:dyDescent="0.25">
      <c r="B82" t="str">
        <f t="shared" si="3"/>
        <v>K-StrongMax 18 121/650mm 40kg, čierna</v>
      </c>
      <c r="C82" s="3" t="s">
        <v>214</v>
      </c>
      <c r="D82" s="3" t="s">
        <v>118</v>
      </c>
      <c r="E82" s="3" t="s">
        <v>311</v>
      </c>
      <c r="F82" s="3" t="s">
        <v>402</v>
      </c>
      <c r="G82" s="3" t="s">
        <v>402</v>
      </c>
      <c r="H82" s="3" t="s">
        <v>557</v>
      </c>
      <c r="I82" s="3" t="s">
        <v>38</v>
      </c>
      <c r="K82">
        <v>121</v>
      </c>
      <c r="L82" s="36" t="str">
        <f>Překlady!$C$32</f>
        <v>Čierna</v>
      </c>
      <c r="M82" t="s">
        <v>27</v>
      </c>
      <c r="N82">
        <v>650</v>
      </c>
      <c r="O82" s="5" t="str">
        <f t="shared" si="4"/>
        <v>Čierna_sklo_ne_121_650</v>
      </c>
      <c r="P82" s="3" t="s">
        <v>214</v>
      </c>
      <c r="Q82" t="str">
        <f t="shared" si="5"/>
        <v>K-StrongMax 18 121/650mm 40kg, čierna</v>
      </c>
    </row>
    <row r="83" spans="2:17" x14ac:dyDescent="0.25">
      <c r="B83" t="str">
        <f t="shared" si="3"/>
        <v>K-StrongMax 18 185/300mm 40kg, čierna</v>
      </c>
      <c r="C83" s="3" t="s">
        <v>215</v>
      </c>
      <c r="D83" s="3" t="s">
        <v>119</v>
      </c>
      <c r="E83" s="3" t="s">
        <v>312</v>
      </c>
      <c r="F83" s="3" t="s">
        <v>402</v>
      </c>
      <c r="G83" s="3" t="s">
        <v>402</v>
      </c>
      <c r="H83" s="3" t="s">
        <v>558</v>
      </c>
      <c r="I83" s="3" t="s">
        <v>38</v>
      </c>
      <c r="K83">
        <v>185</v>
      </c>
      <c r="L83" s="36" t="str">
        <f>Překlady!$C$32</f>
        <v>Čierna</v>
      </c>
      <c r="M83" t="s">
        <v>27</v>
      </c>
      <c r="N83">
        <v>300</v>
      </c>
      <c r="O83" s="5" t="str">
        <f t="shared" si="4"/>
        <v>Čierna_sklo_ne_185_300</v>
      </c>
      <c r="P83" s="3" t="s">
        <v>215</v>
      </c>
      <c r="Q83" t="str">
        <f t="shared" si="5"/>
        <v>K-StrongMax 18 185/300mm 40kg, čierna</v>
      </c>
    </row>
    <row r="84" spans="2:17" x14ac:dyDescent="0.25">
      <c r="B84" t="str">
        <f t="shared" si="3"/>
        <v>K-StrongMax 18 185/350mm 40kg, čierna</v>
      </c>
      <c r="C84" s="3" t="s">
        <v>216</v>
      </c>
      <c r="D84" s="3" t="s">
        <v>37</v>
      </c>
      <c r="E84" s="3" t="s">
        <v>231</v>
      </c>
      <c r="F84" s="3" t="s">
        <v>402</v>
      </c>
      <c r="G84" s="3" t="s">
        <v>402</v>
      </c>
      <c r="H84" s="3" t="s">
        <v>477</v>
      </c>
      <c r="I84" s="3" t="s">
        <v>38</v>
      </c>
      <c r="K84">
        <v>185</v>
      </c>
      <c r="L84" s="36" t="str">
        <f>Překlady!$C$32</f>
        <v>Čierna</v>
      </c>
      <c r="M84" t="s">
        <v>27</v>
      </c>
      <c r="N84">
        <v>350</v>
      </c>
      <c r="O84" s="5" t="str">
        <f t="shared" si="4"/>
        <v>Čierna_sklo_ne_185_350</v>
      </c>
      <c r="P84" s="3" t="s">
        <v>216</v>
      </c>
      <c r="Q84" t="str">
        <f t="shared" si="5"/>
        <v>K-StrongMax 18 185/350mm 40kg, čierna</v>
      </c>
    </row>
    <row r="85" spans="2:17" x14ac:dyDescent="0.25">
      <c r="B85" t="str">
        <f t="shared" si="3"/>
        <v>K-StrongMax 18 185/400mm 40kg, čierna</v>
      </c>
      <c r="C85" s="3" t="s">
        <v>217</v>
      </c>
      <c r="D85" s="3" t="s">
        <v>120</v>
      </c>
      <c r="E85" s="3" t="s">
        <v>313</v>
      </c>
      <c r="F85" s="3" t="s">
        <v>402</v>
      </c>
      <c r="G85" s="3" t="s">
        <v>402</v>
      </c>
      <c r="H85" s="3" t="s">
        <v>559</v>
      </c>
      <c r="I85" s="3" t="s">
        <v>38</v>
      </c>
      <c r="K85">
        <v>185</v>
      </c>
      <c r="L85" s="36" t="str">
        <f>Překlady!$C$32</f>
        <v>Čierna</v>
      </c>
      <c r="M85" t="s">
        <v>27</v>
      </c>
      <c r="N85">
        <v>400</v>
      </c>
      <c r="O85" s="5" t="str">
        <f t="shared" si="4"/>
        <v>Čierna_sklo_ne_185_400</v>
      </c>
      <c r="P85" s="3" t="s">
        <v>217</v>
      </c>
      <c r="Q85" t="str">
        <f t="shared" si="5"/>
        <v>K-StrongMax 18 185/400mm 40kg, čierna</v>
      </c>
    </row>
    <row r="86" spans="2:17" x14ac:dyDescent="0.25">
      <c r="B86" t="str">
        <f t="shared" si="3"/>
        <v>K-StrongMax 18 185/550mm 40kg, čierna</v>
      </c>
      <c r="C86" s="3" t="s">
        <v>218</v>
      </c>
      <c r="D86" s="3" t="s">
        <v>121</v>
      </c>
      <c r="E86" s="3" t="s">
        <v>314</v>
      </c>
      <c r="F86" s="3" t="s">
        <v>402</v>
      </c>
      <c r="G86" s="3" t="s">
        <v>402</v>
      </c>
      <c r="H86" s="3" t="s">
        <v>560</v>
      </c>
      <c r="I86" s="3" t="s">
        <v>38</v>
      </c>
      <c r="K86">
        <v>185</v>
      </c>
      <c r="L86" s="36" t="str">
        <f>Překlady!$C$32</f>
        <v>Čierna</v>
      </c>
      <c r="M86" t="s">
        <v>27</v>
      </c>
      <c r="N86">
        <v>550</v>
      </c>
      <c r="O86" s="5" t="str">
        <f t="shared" si="4"/>
        <v>Čierna_sklo_ne_185_550</v>
      </c>
      <c r="P86" s="3" t="s">
        <v>218</v>
      </c>
      <c r="Q86" t="str">
        <f t="shared" si="5"/>
        <v>K-StrongMax 18 185/550mm 40kg, čierna</v>
      </c>
    </row>
    <row r="87" spans="2:17" x14ac:dyDescent="0.25">
      <c r="B87" t="str">
        <f t="shared" si="3"/>
        <v>K-StrongMax 18 185/550mm 40kg,presklenné bočnice,čierna</v>
      </c>
      <c r="C87" s="3" t="s">
        <v>219</v>
      </c>
      <c r="D87" s="3" t="s">
        <v>122</v>
      </c>
      <c r="E87" s="3" t="s">
        <v>315</v>
      </c>
      <c r="F87" s="3" t="s">
        <v>402</v>
      </c>
      <c r="G87" s="3" t="s">
        <v>402</v>
      </c>
      <c r="H87" s="3" t="s">
        <v>561</v>
      </c>
      <c r="I87" s="3" t="s">
        <v>38</v>
      </c>
      <c r="K87">
        <v>185</v>
      </c>
      <c r="L87" s="36" t="str">
        <f>Překlady!$C$32</f>
        <v>Čierna</v>
      </c>
      <c r="M87" t="s">
        <v>25</v>
      </c>
      <c r="N87">
        <v>550</v>
      </c>
      <c r="O87" s="5" t="str">
        <f t="shared" si="4"/>
        <v>Čierna_sklo_ano_185_550</v>
      </c>
      <c r="P87" s="3" t="s">
        <v>219</v>
      </c>
      <c r="Q87" t="str">
        <f t="shared" si="5"/>
        <v>K-StrongMax 18 185/550mm 40kg,presklenné bočnice,čierna</v>
      </c>
    </row>
    <row r="88" spans="2:17" x14ac:dyDescent="0.25">
      <c r="B88" t="str">
        <f t="shared" si="3"/>
        <v>K-StrongMax 18 185/600mm 40kg, čierna</v>
      </c>
      <c r="C88" s="3" t="s">
        <v>220</v>
      </c>
      <c r="D88" s="3" t="s">
        <v>123</v>
      </c>
      <c r="E88" s="3" t="s">
        <v>316</v>
      </c>
      <c r="F88" s="3" t="s">
        <v>402</v>
      </c>
      <c r="G88" s="3" t="s">
        <v>402</v>
      </c>
      <c r="H88" s="3" t="s">
        <v>562</v>
      </c>
      <c r="I88" s="3" t="s">
        <v>38</v>
      </c>
      <c r="K88">
        <v>185</v>
      </c>
      <c r="L88" s="36" t="str">
        <f>Překlady!$C$32</f>
        <v>Čierna</v>
      </c>
      <c r="M88" t="s">
        <v>27</v>
      </c>
      <c r="N88">
        <v>600</v>
      </c>
      <c r="O88" s="5" t="str">
        <f t="shared" si="4"/>
        <v>Čierna_sklo_ne_185_600</v>
      </c>
      <c r="P88" s="3" t="s">
        <v>220</v>
      </c>
      <c r="Q88" t="str">
        <f t="shared" si="5"/>
        <v>K-StrongMax 18 185/600mm 40kg, čierna</v>
      </c>
    </row>
    <row r="89" spans="2:17" x14ac:dyDescent="0.25">
      <c r="B89" t="str">
        <f t="shared" si="3"/>
        <v>K-StrongMax 18 185/650mm 40kg, čierna</v>
      </c>
      <c r="C89" s="3" t="s">
        <v>221</v>
      </c>
      <c r="D89" s="3" t="s">
        <v>124</v>
      </c>
      <c r="E89" s="3" t="s">
        <v>317</v>
      </c>
      <c r="F89" s="3" t="s">
        <v>402</v>
      </c>
      <c r="G89" s="3" t="s">
        <v>402</v>
      </c>
      <c r="H89" s="3" t="s">
        <v>563</v>
      </c>
      <c r="I89" s="3" t="s">
        <v>38</v>
      </c>
      <c r="K89">
        <v>185</v>
      </c>
      <c r="L89" s="36" t="str">
        <f>Překlady!$C$32</f>
        <v>Čierna</v>
      </c>
      <c r="M89" t="s">
        <v>27</v>
      </c>
      <c r="N89">
        <v>650</v>
      </c>
      <c r="O89" s="5" t="str">
        <f t="shared" si="4"/>
        <v>Čierna_sklo_ne_185_650</v>
      </c>
      <c r="P89" s="3" t="s">
        <v>221</v>
      </c>
      <c r="Q89" t="str">
        <f t="shared" si="5"/>
        <v>K-StrongMax 18 185/650mm 40kg, čierna</v>
      </c>
    </row>
    <row r="90" spans="2:17" x14ac:dyDescent="0.25">
      <c r="B90" t="str">
        <f t="shared" si="3"/>
        <v>K-StrongMax 18 249/550mm 40kt, čierna</v>
      </c>
      <c r="C90" s="3" t="s">
        <v>222</v>
      </c>
      <c r="D90" s="3" t="s">
        <v>125</v>
      </c>
      <c r="E90" s="3" t="s">
        <v>318</v>
      </c>
      <c r="F90" s="3" t="s">
        <v>402</v>
      </c>
      <c r="G90" s="3" t="s">
        <v>402</v>
      </c>
      <c r="H90" s="3" t="s">
        <v>564</v>
      </c>
      <c r="I90" s="3" t="s">
        <v>38</v>
      </c>
      <c r="K90">
        <v>249</v>
      </c>
      <c r="L90" s="36" t="str">
        <f>Překlady!$C$32</f>
        <v>Čierna</v>
      </c>
      <c r="M90" t="s">
        <v>27</v>
      </c>
      <c r="N90">
        <v>550</v>
      </c>
      <c r="O90" s="5" t="str">
        <f t="shared" si="4"/>
        <v>Čierna_sklo_ne_249_550</v>
      </c>
      <c r="P90" s="3" t="s">
        <v>222</v>
      </c>
      <c r="Q90" t="str">
        <f t="shared" si="5"/>
        <v>K-StrongMax 18 249/550mm 40kt, čierna</v>
      </c>
    </row>
    <row r="91" spans="2:17" x14ac:dyDescent="0.25">
      <c r="B91" t="str">
        <f t="shared" si="3"/>
        <v>K-StrongMax 18 249/600mm 40kg, čierna</v>
      </c>
      <c r="C91" s="3" t="s">
        <v>223</v>
      </c>
      <c r="D91" s="3" t="s">
        <v>126</v>
      </c>
      <c r="E91" s="3" t="s">
        <v>319</v>
      </c>
      <c r="F91" s="3" t="s">
        <v>402</v>
      </c>
      <c r="G91" s="3" t="s">
        <v>402</v>
      </c>
      <c r="H91" s="3" t="s">
        <v>565</v>
      </c>
      <c r="I91" s="3" t="s">
        <v>38</v>
      </c>
      <c r="K91">
        <v>249</v>
      </c>
      <c r="L91" s="36" t="str">
        <f>Překlady!$C$32</f>
        <v>Čierna</v>
      </c>
      <c r="M91" t="s">
        <v>27</v>
      </c>
      <c r="N91">
        <v>600</v>
      </c>
      <c r="O91" s="5" t="str">
        <f t="shared" si="4"/>
        <v>Čierna_sklo_ne_249_600</v>
      </c>
      <c r="P91" s="3" t="s">
        <v>223</v>
      </c>
      <c r="Q91" t="str">
        <f t="shared" si="5"/>
        <v>K-StrongMax 18 249/600mm 40kg, čierna</v>
      </c>
    </row>
    <row r="92" spans="2:17" x14ac:dyDescent="0.25">
      <c r="B92" t="str">
        <f t="shared" si="3"/>
        <v>K-StrongMax 18 249/650mm 40kg, čierna</v>
      </c>
      <c r="C92" s="3" t="s">
        <v>224</v>
      </c>
      <c r="D92" s="3" t="s">
        <v>127</v>
      </c>
      <c r="E92" s="3" t="s">
        <v>320</v>
      </c>
      <c r="F92" s="3" t="s">
        <v>402</v>
      </c>
      <c r="G92" s="3" t="s">
        <v>402</v>
      </c>
      <c r="H92" s="3" t="s">
        <v>566</v>
      </c>
      <c r="I92" s="3" t="s">
        <v>38</v>
      </c>
      <c r="K92">
        <v>249</v>
      </c>
      <c r="L92" s="36" t="str">
        <f>Překlady!$C$32</f>
        <v>Čierna</v>
      </c>
      <c r="M92" t="s">
        <v>27</v>
      </c>
      <c r="N92">
        <v>650</v>
      </c>
      <c r="O92" s="5" t="str">
        <f t="shared" si="4"/>
        <v>Čierna_sklo_ne_249_650</v>
      </c>
      <c r="P92" s="3" t="s">
        <v>224</v>
      </c>
      <c r="Q92" t="str">
        <f t="shared" si="5"/>
        <v>K-StrongMax 18 249/650mm 40kg, čierna</v>
      </c>
    </row>
    <row r="93" spans="2:17" x14ac:dyDescent="0.25">
      <c r="B93" t="str">
        <f t="shared" si="3"/>
        <v>K-StrongMax 18 89/300mm 40kg, čierna</v>
      </c>
      <c r="C93" s="3" t="s">
        <v>225</v>
      </c>
      <c r="D93" s="3" t="s">
        <v>128</v>
      </c>
      <c r="E93" s="3" t="s">
        <v>321</v>
      </c>
      <c r="F93" s="3" t="s">
        <v>402</v>
      </c>
      <c r="G93" s="3" t="s">
        <v>402</v>
      </c>
      <c r="H93" s="3" t="s">
        <v>567</v>
      </c>
      <c r="I93" s="3" t="s">
        <v>38</v>
      </c>
      <c r="K93">
        <v>89</v>
      </c>
      <c r="L93" s="36" t="str">
        <f>Překlady!$C$32</f>
        <v>Čierna</v>
      </c>
      <c r="M93" t="s">
        <v>27</v>
      </c>
      <c r="N93">
        <v>300</v>
      </c>
      <c r="O93" s="5" t="str">
        <f t="shared" si="4"/>
        <v>Čierna_sklo_ne_89_300</v>
      </c>
      <c r="P93" s="3" t="s">
        <v>225</v>
      </c>
      <c r="Q93" t="str">
        <f t="shared" si="5"/>
        <v>K-StrongMax 18 89/300mm 40kg, čierna</v>
      </c>
    </row>
    <row r="94" spans="2:17" x14ac:dyDescent="0.25">
      <c r="B94" t="str">
        <f t="shared" si="3"/>
        <v>K-StrongMax 18 89/350mm 40kg, čierna</v>
      </c>
      <c r="C94" s="3" t="s">
        <v>226</v>
      </c>
      <c r="D94" s="3" t="s">
        <v>129</v>
      </c>
      <c r="E94" s="3" t="s">
        <v>322</v>
      </c>
      <c r="F94" s="3" t="s">
        <v>402</v>
      </c>
      <c r="G94" s="3" t="s">
        <v>402</v>
      </c>
      <c r="H94" s="3" t="s">
        <v>568</v>
      </c>
      <c r="I94" s="3" t="s">
        <v>38</v>
      </c>
      <c r="K94">
        <v>89</v>
      </c>
      <c r="L94" s="36" t="str">
        <f>Překlady!$C$32</f>
        <v>Čierna</v>
      </c>
      <c r="M94" t="s">
        <v>27</v>
      </c>
      <c r="N94">
        <v>350</v>
      </c>
      <c r="O94" s="5" t="str">
        <f t="shared" si="4"/>
        <v>Čierna_sklo_ne_89_350</v>
      </c>
      <c r="P94" s="3" t="s">
        <v>226</v>
      </c>
      <c r="Q94" t="str">
        <f t="shared" si="5"/>
        <v>K-StrongMax 18 89/350mm 40kg, čierna</v>
      </c>
    </row>
    <row r="95" spans="2:17" x14ac:dyDescent="0.25">
      <c r="B95" t="str">
        <f t="shared" si="3"/>
        <v>K-StrongMax 18 89/400mm 40kg, čierna</v>
      </c>
      <c r="C95" s="3" t="s">
        <v>227</v>
      </c>
      <c r="D95" s="3" t="s">
        <v>130</v>
      </c>
      <c r="E95" s="3" t="s">
        <v>323</v>
      </c>
      <c r="F95" s="3" t="s">
        <v>402</v>
      </c>
      <c r="G95" s="3" t="s">
        <v>402</v>
      </c>
      <c r="H95" s="3" t="s">
        <v>569</v>
      </c>
      <c r="I95" s="3" t="s">
        <v>38</v>
      </c>
      <c r="K95">
        <v>89</v>
      </c>
      <c r="L95" s="36" t="str">
        <f>Překlady!$C$32</f>
        <v>Čierna</v>
      </c>
      <c r="M95" t="s">
        <v>27</v>
      </c>
      <c r="N95">
        <v>400</v>
      </c>
      <c r="O95" s="5" t="str">
        <f t="shared" si="4"/>
        <v>Čierna_sklo_ne_89_400</v>
      </c>
      <c r="P95" s="3" t="s">
        <v>227</v>
      </c>
      <c r="Q95" t="str">
        <f t="shared" si="5"/>
        <v>K-StrongMax 18 89/400mm 40kg, čierna</v>
      </c>
    </row>
    <row r="96" spans="2:17" x14ac:dyDescent="0.25">
      <c r="B96" t="str">
        <f t="shared" si="3"/>
        <v>K-StrongMax 18 89/550mm 40kg, čierna</v>
      </c>
      <c r="C96" s="3" t="s">
        <v>228</v>
      </c>
      <c r="D96" s="3" t="s">
        <v>131</v>
      </c>
      <c r="E96" s="3" t="s">
        <v>324</v>
      </c>
      <c r="F96" s="3" t="s">
        <v>402</v>
      </c>
      <c r="G96" s="3" t="s">
        <v>402</v>
      </c>
      <c r="H96" s="3" t="s">
        <v>570</v>
      </c>
      <c r="I96" s="3" t="s">
        <v>38</v>
      </c>
      <c r="K96">
        <v>89</v>
      </c>
      <c r="L96" s="36" t="str">
        <f>Překlady!$C$32</f>
        <v>Čierna</v>
      </c>
      <c r="M96" t="s">
        <v>27</v>
      </c>
      <c r="N96">
        <v>550</v>
      </c>
      <c r="O96" s="5" t="str">
        <f t="shared" si="4"/>
        <v>Čierna_sklo_ne_89_550</v>
      </c>
      <c r="P96" s="3" t="s">
        <v>228</v>
      </c>
      <c r="Q96" t="str">
        <f t="shared" si="5"/>
        <v>K-StrongMax 18 89/550mm 40kg, čierna</v>
      </c>
    </row>
    <row r="97" spans="2:17" x14ac:dyDescent="0.25">
      <c r="B97" t="str">
        <f t="shared" si="3"/>
        <v>K-StrongMax 18 89/600mm 40kg, čierna</v>
      </c>
      <c r="C97" s="3" t="s">
        <v>229</v>
      </c>
      <c r="D97" s="3" t="s">
        <v>132</v>
      </c>
      <c r="E97" s="3" t="s">
        <v>325</v>
      </c>
      <c r="F97" s="3" t="s">
        <v>402</v>
      </c>
      <c r="G97" s="3" t="s">
        <v>402</v>
      </c>
      <c r="H97" s="3" t="s">
        <v>571</v>
      </c>
      <c r="I97" s="3" t="s">
        <v>38</v>
      </c>
      <c r="K97">
        <v>89</v>
      </c>
      <c r="L97" s="36" t="str">
        <f>Překlady!$C$32</f>
        <v>Čierna</v>
      </c>
      <c r="M97" t="s">
        <v>27</v>
      </c>
      <c r="N97">
        <v>600</v>
      </c>
      <c r="O97" s="5" t="str">
        <f t="shared" si="4"/>
        <v>Čierna_sklo_ne_89_600</v>
      </c>
      <c r="P97" s="3" t="s">
        <v>229</v>
      </c>
      <c r="Q97" t="str">
        <f t="shared" si="5"/>
        <v>K-StrongMax 18 89/600mm 40kg, čierna</v>
      </c>
    </row>
    <row r="98" spans="2:17" x14ac:dyDescent="0.25">
      <c r="B98" t="str">
        <f t="shared" si="3"/>
        <v>K-StrongMax 18 89/650mm 40kg, čierna</v>
      </c>
      <c r="C98" s="3" t="s">
        <v>230</v>
      </c>
      <c r="D98" s="3" t="s">
        <v>133</v>
      </c>
      <c r="E98" s="3" t="s">
        <v>326</v>
      </c>
      <c r="F98" s="3" t="s">
        <v>402</v>
      </c>
      <c r="G98" s="3" t="s">
        <v>402</v>
      </c>
      <c r="H98" s="3" t="s">
        <v>572</v>
      </c>
      <c r="I98" s="3" t="s">
        <v>38</v>
      </c>
      <c r="K98">
        <v>89</v>
      </c>
      <c r="L98" s="36" t="str">
        <f>Překlady!$C$32</f>
        <v>Čierna</v>
      </c>
      <c r="M98" t="s">
        <v>27</v>
      </c>
      <c r="N98">
        <v>650</v>
      </c>
      <c r="O98" s="5" t="str">
        <f t="shared" si="4"/>
        <v>Čierna_sklo_ne_89_650</v>
      </c>
      <c r="P98" s="3" t="s">
        <v>230</v>
      </c>
      <c r="Q98" t="str">
        <f t="shared" si="5"/>
        <v>K-StrongMax 18 89/650mm 40kg, čierna</v>
      </c>
    </row>
    <row r="99" spans="2:17" x14ac:dyDescent="0.25">
      <c r="B99" t="str">
        <f t="shared" si="3"/>
        <v>STRONG označovacia šablona pro výsuvy nerezová</v>
      </c>
      <c r="C99">
        <v>396273</v>
      </c>
      <c r="D99" t="s">
        <v>721</v>
      </c>
      <c r="E99" t="s">
        <v>722</v>
      </c>
      <c r="F99" t="s">
        <v>723</v>
      </c>
      <c r="G99" t="s">
        <v>724</v>
      </c>
      <c r="H99" t="s">
        <v>725</v>
      </c>
    </row>
    <row r="100" spans="2:17" x14ac:dyDescent="0.25">
      <c r="B100" t="str">
        <f t="shared" si="3"/>
        <v>StrongBox označovač čela - sada P+L</v>
      </c>
      <c r="C100">
        <v>179242</v>
      </c>
      <c r="D100" t="s">
        <v>726</v>
      </c>
      <c r="E100" t="s">
        <v>726</v>
      </c>
      <c r="F100" t="s">
        <v>727</v>
      </c>
      <c r="G100" t="s">
        <v>728</v>
      </c>
      <c r="H100" t="s">
        <v>729</v>
      </c>
    </row>
  </sheetData>
  <autoFilter ref="K2:Q98" xr:uid="{A6948DF1-249B-4F57-85A8-C987E8218659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DDAFB-43A2-42FC-A49C-5558E1CD8943}">
  <sheetPr codeName="List6"/>
  <dimension ref="A1"/>
  <sheetViews>
    <sheetView workbookViewId="0">
      <selection activeCell="H7" sqref="H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10FA-CE07-41F0-8979-DADD702782E1}">
  <sheetPr codeName="List10"/>
  <dimension ref="B2:I15"/>
  <sheetViews>
    <sheetView workbookViewId="0">
      <selection activeCell="A5" sqref="A5:XFD5"/>
    </sheetView>
  </sheetViews>
  <sheetFormatPr defaultRowHeight="15" x14ac:dyDescent="0.25"/>
  <cols>
    <col min="2" max="2" width="13.28515625" bestFit="1" customWidth="1"/>
  </cols>
  <sheetData>
    <row r="2" spans="2:9" x14ac:dyDescent="0.25">
      <c r="C2" t="s">
        <v>594</v>
      </c>
      <c r="D2" t="s">
        <v>595</v>
      </c>
      <c r="I2">
        <v>155</v>
      </c>
    </row>
    <row r="3" spans="2:9" x14ac:dyDescent="0.25">
      <c r="C3">
        <v>113</v>
      </c>
      <c r="D3">
        <v>144</v>
      </c>
      <c r="F3">
        <v>89</v>
      </c>
      <c r="G3" s="5"/>
      <c r="H3" s="5"/>
      <c r="I3" s="5"/>
    </row>
    <row r="4" spans="2:9" x14ac:dyDescent="0.25">
      <c r="C4">
        <v>145</v>
      </c>
      <c r="D4">
        <v>208</v>
      </c>
      <c r="F4">
        <v>121</v>
      </c>
    </row>
    <row r="5" spans="2:9" x14ac:dyDescent="0.25">
      <c r="C5">
        <v>209</v>
      </c>
      <c r="D5">
        <v>272</v>
      </c>
      <c r="F5">
        <v>185</v>
      </c>
    </row>
    <row r="6" spans="2:9" x14ac:dyDescent="0.25">
      <c r="C6">
        <v>207</v>
      </c>
      <c r="D6">
        <v>272</v>
      </c>
      <c r="E6" t="s">
        <v>596</v>
      </c>
      <c r="F6">
        <v>185</v>
      </c>
    </row>
    <row r="7" spans="2:9" x14ac:dyDescent="0.25">
      <c r="C7">
        <v>273</v>
      </c>
      <c r="F7">
        <v>249</v>
      </c>
    </row>
    <row r="8" spans="2:9" x14ac:dyDescent="0.25">
      <c r="B8" s="5"/>
    </row>
    <row r="9" spans="2:9" x14ac:dyDescent="0.25">
      <c r="B9" s="5"/>
    </row>
    <row r="10" spans="2:9" x14ac:dyDescent="0.25">
      <c r="B10" s="5"/>
    </row>
    <row r="11" spans="2:9" x14ac:dyDescent="0.25">
      <c r="B11" s="5"/>
    </row>
    <row r="12" spans="2:9" x14ac:dyDescent="0.25">
      <c r="B12" s="5"/>
    </row>
    <row r="13" spans="2:9" x14ac:dyDescent="0.25">
      <c r="B13" s="5"/>
    </row>
    <row r="14" spans="2:9" x14ac:dyDescent="0.25">
      <c r="B14" s="5"/>
    </row>
    <row r="15" spans="2:9" x14ac:dyDescent="0.25">
      <c r="B15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Úvod</vt:lpstr>
      <vt:lpstr>Zakaznik</vt:lpstr>
      <vt:lpstr>Menu</vt:lpstr>
      <vt:lpstr>Překlady</vt:lpstr>
      <vt:lpstr>čelo</vt:lpstr>
      <vt:lpstr>nákresy</vt:lpstr>
      <vt:lpstr>Karty</vt:lpstr>
      <vt:lpstr>vnitřní</vt:lpstr>
      <vt:lpstr>výška bočnic</vt:lpstr>
      <vt:lpstr>ČTYŘI_VÝŠKY</vt:lpstr>
      <vt:lpstr>DVĚ_VÝŠKY</vt:lpstr>
      <vt:lpstr>JEDNA_VÝŠKA</vt:lpstr>
      <vt:lpstr>čelo!Oblast_tisku</vt:lpstr>
      <vt:lpstr>TŘI_VÝŠKY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Slaběňák Jiří</dc:creator>
  <cp:lastModifiedBy>Slaběňák Jiří</cp:lastModifiedBy>
  <cp:lastPrinted>2025-01-29T09:29:36Z</cp:lastPrinted>
  <dcterms:created xsi:type="dcterms:W3CDTF">2024-09-16T12:39:10Z</dcterms:created>
  <dcterms:modified xsi:type="dcterms:W3CDTF">2025-01-30T08:11:16Z</dcterms:modified>
</cp:coreProperties>
</file>